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E23" sqref="E23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6" t="n"/>
      <c r="C6" s="226" t="n"/>
      <c r="D6" s="226" t="n"/>
    </row>
    <row r="7" ht="29.25" customHeight="1" s="294">
      <c r="B7" s="325" t="inlineStr">
        <is>
          <t>Наименование разрабатываемого показателя УНЦ - КЛ 35 кВ (с алюминиевой жилой) сечение жилы 400 мм2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 ht="15.75" customHeight="1" s="294">
      <c r="B9" s="325" t="inlineStr">
        <is>
          <t>Единица измерения  — 1 км</t>
        </is>
      </c>
    </row>
    <row r="10">
      <c r="B10" s="325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07" t="n"/>
    </row>
    <row r="12" ht="31.5" customHeight="1" s="294">
      <c r="B12" s="343" t="n">
        <v>1</v>
      </c>
      <c r="C12" s="342" t="inlineStr">
        <is>
          <t>Наименование объекта-представителя</t>
        </is>
      </c>
      <c r="D12" s="343" t="inlineStr">
        <is>
          <t>Комплексная реконструкция и техническое перевооружение ПС №20 Чесменская СПб</t>
        </is>
      </c>
    </row>
    <row r="13">
      <c r="B13" s="343" t="n">
        <v>2</v>
      </c>
      <c r="C13" s="342" t="inlineStr">
        <is>
          <t>Наименование субъекта Российской Федерации</t>
        </is>
      </c>
      <c r="D13" s="343" t="inlineStr">
        <is>
          <t>Ленинградская область</t>
        </is>
      </c>
    </row>
    <row r="14">
      <c r="B14" s="343" t="n">
        <v>3</v>
      </c>
      <c r="C14" s="342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42" t="inlineStr">
        <is>
          <t>Мощность объекта</t>
        </is>
      </c>
      <c r="D15" s="343" t="n">
        <v>1</v>
      </c>
    </row>
    <row r="16" ht="63" customHeight="1" s="294">
      <c r="B16" s="34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Кабель алюминиевый 35 кВ 1х400</t>
        </is>
      </c>
    </row>
    <row r="17" ht="63" customHeight="1" s="294">
      <c r="B17" s="34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5" t="n"/>
    </row>
    <row r="18">
      <c r="B18" s="290" t="inlineStr">
        <is>
          <t>6.1</t>
        </is>
      </c>
      <c r="C18" s="342" t="inlineStr">
        <is>
          <t>строительно-монтажные работы</t>
        </is>
      </c>
      <c r="D18" s="291" t="n">
        <v>6184.59</v>
      </c>
    </row>
    <row r="19" ht="15.75" customHeight="1" s="294">
      <c r="B19" s="290" t="inlineStr">
        <is>
          <t>6.2</t>
        </is>
      </c>
      <c r="C19" s="342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2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5" t="inlineStr">
        <is>
          <t>прочие и лимитированные затраты</t>
        </is>
      </c>
      <c r="D21" s="291">
        <f>D18*2.5%+(D18+D18*2.5%)*2.9%</f>
        <v/>
      </c>
    </row>
    <row r="22">
      <c r="B22" s="343" t="n">
        <v>7</v>
      </c>
      <c r="C22" s="205" t="inlineStr">
        <is>
          <t>Сопоставимый уровень цен</t>
        </is>
      </c>
      <c r="D22" s="236" t="inlineStr">
        <is>
          <t xml:space="preserve">3 квартал 2011 года </t>
        </is>
      </c>
      <c r="E22" s="203" t="n"/>
    </row>
    <row r="23" ht="78.75" customHeight="1" s="294">
      <c r="B23" s="343" t="n">
        <v>8</v>
      </c>
      <c r="C23" s="2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5" t="n"/>
    </row>
    <row r="24" ht="31.5" customHeight="1" s="294">
      <c r="B24" s="34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3" t="n"/>
    </row>
    <row r="25">
      <c r="B25" s="343" t="n">
        <v>10</v>
      </c>
      <c r="C25" s="342" t="inlineStr">
        <is>
          <t>Примечание</t>
        </is>
      </c>
      <c r="D25" s="343" t="n"/>
    </row>
    <row r="26">
      <c r="B26" s="201" t="n"/>
      <c r="C26" s="200" t="n"/>
      <c r="D26" s="200" t="n"/>
    </row>
    <row r="27" ht="37.5" customHeight="1" s="294">
      <c r="B27" s="199" t="n"/>
    </row>
    <row r="28">
      <c r="B28" s="296" t="inlineStr">
        <is>
          <t>Составил ______________________    А.Р. Маркова</t>
        </is>
      </c>
    </row>
    <row r="29">
      <c r="B29" s="199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19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3" sqref="E23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199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7" t="n"/>
    </row>
    <row r="9" ht="15.75" customHeight="1" s="294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3 кв. 2011 г., тыс. руб.</t>
        </is>
      </c>
      <c r="G10" s="420" t="n"/>
      <c r="H10" s="420" t="n"/>
      <c r="I10" s="420" t="n"/>
      <c r="J10" s="421" t="n"/>
    </row>
    <row r="11" ht="31.5" customHeight="1" s="294">
      <c r="B11" s="423" t="n"/>
      <c r="C11" s="423" t="n"/>
      <c r="D11" s="423" t="n"/>
      <c r="E11" s="423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31.5" customHeight="1" s="294">
      <c r="B12" s="343" t="n">
        <v>1</v>
      </c>
      <c r="C12" s="343" t="inlineStr">
        <is>
          <t>Кабель алюминиевый 35 кВ 1х400</t>
        </is>
      </c>
      <c r="D12" s="290" t="inlineStr">
        <is>
          <t>02-17-01</t>
        </is>
      </c>
      <c r="E12" s="343" t="inlineStr">
        <is>
          <t>Заходы КЛ-35 кВ</t>
        </is>
      </c>
      <c r="F12" s="291" t="n"/>
      <c r="G12" s="291">
        <f>6184585.46/1000</f>
        <v/>
      </c>
      <c r="H12" s="291" t="n"/>
      <c r="I12" s="291" t="n"/>
      <c r="J12" s="291">
        <f>SUM(F12:I12)</f>
        <v/>
      </c>
    </row>
    <row r="13" ht="15" customHeight="1" s="294">
      <c r="B13" s="424" t="inlineStr">
        <is>
          <t>Всего по объекту:</t>
        </is>
      </c>
      <c r="C13" s="425" t="n"/>
      <c r="D13" s="425" t="n"/>
      <c r="E13" s="426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7" t="inlineStr">
        <is>
          <t>Всего по объекту в сопоставимом уровне цен 3 кв. 2011 г:</t>
        </is>
      </c>
      <c r="C14" s="420" t="n"/>
      <c r="D14" s="420" t="n"/>
      <c r="E14" s="421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73" t="inlineStr">
        <is>
          <t>Составил ______________________     А.Р. Маркова</t>
        </is>
      </c>
      <c r="D18" s="274" t="n"/>
      <c r="E18" s="274" t="n"/>
    </row>
    <row r="19" ht="15" customHeight="1" s="294">
      <c r="C19" s="276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4">
      <c r="C20" s="273" t="n"/>
      <c r="D20" s="274" t="n"/>
      <c r="E20" s="274" t="n"/>
    </row>
    <row r="21" ht="15" customHeight="1" s="294">
      <c r="C21" s="273" t="inlineStr">
        <is>
          <t>Проверил ______________________        А.В. Костянецкая</t>
        </is>
      </c>
      <c r="D21" s="274" t="n"/>
      <c r="E21" s="274" t="n"/>
    </row>
    <row r="22" ht="15" customHeight="1" s="294">
      <c r="C22" s="276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tabSelected="1" view="pageBreakPreview" topLeftCell="A10" workbookViewId="0">
      <selection activeCell="B28" sqref="D28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3" t="n"/>
      <c r="B4" s="233" t="n"/>
      <c r="C4" s="345" t="n"/>
    </row>
    <row r="5">
      <c r="A5" s="325" t="n"/>
    </row>
    <row r="6">
      <c r="A6" s="344" t="inlineStr">
        <is>
          <t>Наименование разрабатываемого показателя УНЦ -  КЛ 35 кВ (с алюминиевой жилой) сечение жилы 400 мм2</t>
        </is>
      </c>
    </row>
    <row r="7">
      <c r="A7" s="209" t="n"/>
      <c r="B7" s="209" t="n"/>
      <c r="C7" s="209" t="n"/>
      <c r="D7" s="209" t="n"/>
      <c r="E7" s="209" t="n"/>
      <c r="F7" s="209" t="n"/>
      <c r="G7" s="209" t="n"/>
      <c r="H7" s="209" t="n"/>
    </row>
    <row r="8" ht="38.25" customHeight="1" s="294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21" t="n"/>
    </row>
    <row r="9" ht="40.65" customHeight="1" s="294">
      <c r="A9" s="423" t="n"/>
      <c r="B9" s="423" t="n"/>
      <c r="C9" s="423" t="n"/>
      <c r="D9" s="423" t="n"/>
      <c r="E9" s="423" t="n"/>
      <c r="F9" s="423" t="n"/>
      <c r="G9" s="343" t="inlineStr">
        <is>
          <t>на ед.изм.</t>
        </is>
      </c>
      <c r="H9" s="343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68">
      <c r="A11" s="340" t="inlineStr">
        <is>
          <t>Затраты труда рабочих</t>
        </is>
      </c>
      <c r="B11" s="420" t="n"/>
      <c r="C11" s="420" t="n"/>
      <c r="D11" s="420" t="n"/>
      <c r="E11" s="421" t="n"/>
      <c r="F11" s="428">
        <f>SUM(F12:F12)</f>
        <v/>
      </c>
      <c r="G11" s="231" t="n"/>
      <c r="H11" s="428">
        <f>SUM(H12:H12)</f>
        <v/>
      </c>
    </row>
    <row r="12">
      <c r="A12" s="351" t="n">
        <v>1</v>
      </c>
      <c r="B12" s="281" t="n"/>
      <c r="C12" s="239" t="inlineStr">
        <is>
          <t>1-3-8</t>
        </is>
      </c>
      <c r="D12" s="359" t="inlineStr">
        <is>
          <t>Затраты труда рабочих (средний разряд работы 3,8)</t>
        </is>
      </c>
      <c r="E12" s="351" t="inlineStr">
        <is>
          <t>чел.-ч</t>
        </is>
      </c>
      <c r="F12" s="351" t="n">
        <v>176</v>
      </c>
      <c r="G12" s="429" t="n">
        <v>9.4</v>
      </c>
      <c r="H12" s="190">
        <f>ROUND(F12*G12,2)</f>
        <v/>
      </c>
      <c r="M12" s="430" t="n"/>
    </row>
    <row r="13">
      <c r="A13" s="339" t="inlineStr">
        <is>
          <t>Затраты труда машинистов</t>
        </is>
      </c>
      <c r="B13" s="420" t="n"/>
      <c r="C13" s="420" t="n"/>
      <c r="D13" s="420" t="n"/>
      <c r="E13" s="421" t="n"/>
      <c r="F13" s="340" t="n"/>
      <c r="G13" s="284" t="n"/>
      <c r="H13" s="428">
        <f>H14</f>
        <v/>
      </c>
    </row>
    <row r="14">
      <c r="A14" s="351" t="n">
        <v>2</v>
      </c>
      <c r="B14" s="341" t="n"/>
      <c r="C14" s="239" t="n">
        <v>2</v>
      </c>
      <c r="D14" s="359" t="inlineStr">
        <is>
          <t>Затраты труда машинистов</t>
        </is>
      </c>
      <c r="E14" s="351" t="inlineStr">
        <is>
          <t>чел.-ч</t>
        </is>
      </c>
      <c r="F14" s="351" t="n">
        <v>38.8</v>
      </c>
      <c r="G14" s="190" t="n"/>
      <c r="H14" s="429" t="n">
        <v>486.94</v>
      </c>
    </row>
    <row r="15" customFormat="1" s="268">
      <c r="A15" s="340" t="inlineStr">
        <is>
          <t>Машины и механизмы</t>
        </is>
      </c>
      <c r="B15" s="420" t="n"/>
      <c r="C15" s="420" t="n"/>
      <c r="D15" s="420" t="n"/>
      <c r="E15" s="421" t="n"/>
      <c r="F15" s="340" t="n"/>
      <c r="G15" s="284" t="n"/>
      <c r="H15" s="428">
        <f>SUM(H16:H19)</f>
        <v/>
      </c>
    </row>
    <row r="16">
      <c r="A16" s="351" t="n">
        <v>3</v>
      </c>
      <c r="B16" s="341" t="n"/>
      <c r="C16" s="239" t="inlineStr">
        <is>
          <t>91.05.05-015</t>
        </is>
      </c>
      <c r="D16" s="359" t="inlineStr">
        <is>
          <t>Краны на автомобильном ходу, грузоподъемность 16 т</t>
        </is>
      </c>
      <c r="E16" s="351" t="inlineStr">
        <is>
          <t>маш.час</t>
        </is>
      </c>
      <c r="F16" s="351" t="n">
        <v>19.4</v>
      </c>
      <c r="G16" s="372" t="n">
        <v>115.4</v>
      </c>
      <c r="H16" s="190">
        <f>ROUND(F16*G16,2)</f>
        <v/>
      </c>
      <c r="I16" s="250" t="n"/>
      <c r="J16" s="250" t="n"/>
      <c r="L16" s="250" t="n"/>
    </row>
    <row r="17" customFormat="1" s="268">
      <c r="A17" s="351" t="n">
        <v>4</v>
      </c>
      <c r="B17" s="341" t="n"/>
      <c r="C17" s="239" t="inlineStr">
        <is>
          <t>91.14.02-001</t>
        </is>
      </c>
      <c r="D17" s="359" t="inlineStr">
        <is>
          <t>Автомобили бортовые, грузоподъемность до 5 т</t>
        </is>
      </c>
      <c r="E17" s="351" t="inlineStr">
        <is>
          <t>маш.час</t>
        </is>
      </c>
      <c r="F17" s="351" t="n">
        <v>19.4</v>
      </c>
      <c r="G17" s="372" t="n">
        <v>65.70999999999999</v>
      </c>
      <c r="H17" s="190">
        <f>ROUND(F17*G17,2)</f>
        <v/>
      </c>
      <c r="I17" s="250" t="n"/>
      <c r="J17" s="250" t="n"/>
      <c r="K17" s="251" t="n"/>
      <c r="L17" s="250" t="n"/>
    </row>
    <row r="18" ht="25.5" customHeight="1" s="294">
      <c r="A18" s="351" t="n">
        <v>5</v>
      </c>
      <c r="B18" s="341" t="n"/>
      <c r="C18" s="239" t="inlineStr">
        <is>
          <t>91.06.03-062</t>
        </is>
      </c>
      <c r="D18" s="359" t="inlineStr">
        <is>
          <t>Лебедки электрические тяговым усилием до 31,39 кН (3,2 т)</t>
        </is>
      </c>
      <c r="E18" s="351" t="inlineStr">
        <is>
          <t>маш.час</t>
        </is>
      </c>
      <c r="F18" s="351" t="n">
        <v>39.7</v>
      </c>
      <c r="G18" s="372" t="n">
        <v>6.9</v>
      </c>
      <c r="H18" s="190">
        <f>ROUND(F18*G18,2)</f>
        <v/>
      </c>
      <c r="I18" s="250" t="n"/>
      <c r="J18" s="250" t="n"/>
      <c r="L18" s="250" t="n"/>
    </row>
    <row r="19">
      <c r="A19" s="351" t="n">
        <v>6</v>
      </c>
      <c r="B19" s="341" t="n"/>
      <c r="C19" s="239" t="inlineStr">
        <is>
          <t>91.06.01-003</t>
        </is>
      </c>
      <c r="D19" s="359" t="inlineStr">
        <is>
          <t>Домкраты гидравлические, грузоподъемность 63-100 т</t>
        </is>
      </c>
      <c r="E19" s="351" t="inlineStr">
        <is>
          <t>маш.час</t>
        </is>
      </c>
      <c r="F19" s="351" t="n">
        <v>39.7</v>
      </c>
      <c r="G19" s="372" t="n">
        <v>0.9</v>
      </c>
      <c r="H19" s="190">
        <f>ROUND(F19*G19,2)</f>
        <v/>
      </c>
      <c r="I19" s="250" t="n"/>
      <c r="J19" s="250" t="n"/>
      <c r="L19" s="250" t="n"/>
    </row>
    <row r="20">
      <c r="A20" s="340" t="inlineStr">
        <is>
          <t>Материалы</t>
        </is>
      </c>
      <c r="B20" s="420" t="n"/>
      <c r="C20" s="420" t="n"/>
      <c r="D20" s="420" t="n"/>
      <c r="E20" s="421" t="n"/>
      <c r="F20" s="340" t="n"/>
      <c r="G20" s="284" t="n"/>
      <c r="H20" s="280">
        <f>SUM(H21:H26)</f>
        <v/>
      </c>
    </row>
    <row r="21">
      <c r="A21" s="150" t="n">
        <v>7</v>
      </c>
      <c r="B21" s="150" t="n"/>
      <c r="C21" s="351" t="inlineStr">
        <is>
          <t>Прайс из СД ОП</t>
        </is>
      </c>
      <c r="D21" s="214" t="inlineStr">
        <is>
          <t>Кабель алюминиевый 35 кВ 1х400</t>
        </is>
      </c>
      <c r="E21" s="351" t="inlineStr">
        <is>
          <t>км</t>
        </is>
      </c>
      <c r="F21" s="351" t="n">
        <v>3.3</v>
      </c>
      <c r="G21" s="215" t="n">
        <v>347626.34</v>
      </c>
      <c r="H21" s="190">
        <f>ROUND(F21*G21,2)</f>
        <v/>
      </c>
    </row>
    <row r="22" ht="25.5" customHeight="1" s="294">
      <c r="A22" s="286" t="n">
        <v>8</v>
      </c>
      <c r="B22" s="341" t="n"/>
      <c r="C22" s="239" t="inlineStr">
        <is>
          <t>08.3.08.02-0052</t>
        </is>
      </c>
      <c r="D22" s="359" t="inlineStr">
        <is>
          <t>Уголок горячекатаный, марка стали ВСт3кп2, размер 50х50х5 мм</t>
        </is>
      </c>
      <c r="E22" s="351" t="inlineStr">
        <is>
          <t>т</t>
        </is>
      </c>
      <c r="F22" s="351" t="n">
        <v>0.1</v>
      </c>
      <c r="G22" s="190" t="n">
        <v>5763</v>
      </c>
      <c r="H22" s="190">
        <f>ROUND(F22*G22,2)</f>
        <v/>
      </c>
      <c r="I22" s="229" t="n"/>
      <c r="J22" s="250" t="n"/>
      <c r="K22" s="250" t="n"/>
    </row>
    <row r="23">
      <c r="A23" s="150" t="n">
        <v>9</v>
      </c>
      <c r="B23" s="341" t="n"/>
      <c r="C23" s="239" t="inlineStr">
        <is>
          <t>14.4.02.09-0001</t>
        </is>
      </c>
      <c r="D23" s="359" t="inlineStr">
        <is>
          <t>Краска</t>
        </is>
      </c>
      <c r="E23" s="351" t="inlineStr">
        <is>
          <t>кг</t>
        </is>
      </c>
      <c r="F23" s="351" t="n">
        <v>2.5</v>
      </c>
      <c r="G23" s="190" t="n">
        <v>28.6</v>
      </c>
      <c r="H23" s="190">
        <f>ROUND(F23*G23,2)</f>
        <v/>
      </c>
      <c r="I23" s="229" t="n"/>
      <c r="J23" s="250" t="n"/>
      <c r="K23" s="250" t="n"/>
    </row>
    <row r="24" ht="25.5" customHeight="1" s="294">
      <c r="A24" s="286" t="n">
        <v>10</v>
      </c>
      <c r="B24" s="341" t="n"/>
      <c r="C24" s="239" t="inlineStr">
        <is>
          <t>08.3.07.01-0076</t>
        </is>
      </c>
      <c r="D24" s="359" t="inlineStr">
        <is>
          <t>Прокат полосовой, горячекатаный, марка стали Ст3сп, ширина 50-200 мм, толщина 4-5 мм</t>
        </is>
      </c>
      <c r="E24" s="351" t="inlineStr">
        <is>
          <t>т</t>
        </is>
      </c>
      <c r="F24" s="351" t="n">
        <v>0.01</v>
      </c>
      <c r="G24" s="190" t="n">
        <v>5000</v>
      </c>
      <c r="H24" s="190">
        <f>ROUND(F24*G24,2)</f>
        <v/>
      </c>
      <c r="I24" s="229" t="n"/>
      <c r="J24" s="250" t="n"/>
      <c r="K24" s="250" t="n"/>
    </row>
    <row r="25">
      <c r="A25" s="286" t="n">
        <v>11</v>
      </c>
      <c r="B25" s="341" t="n"/>
      <c r="C25" s="239" t="inlineStr">
        <is>
          <t>01.7.06.07-0002</t>
        </is>
      </c>
      <c r="D25" s="359" t="inlineStr">
        <is>
          <t>Лента монтажная, тип ЛМ-5</t>
        </is>
      </c>
      <c r="E25" s="351" t="inlineStr">
        <is>
          <t>10 м</t>
        </is>
      </c>
      <c r="F25" s="351" t="n">
        <v>0.96</v>
      </c>
      <c r="G25" s="190" t="n">
        <v>6.9</v>
      </c>
      <c r="H25" s="190">
        <f>ROUND(F25*G25,2)</f>
        <v/>
      </c>
      <c r="I25" s="229" t="n"/>
      <c r="J25" s="250" t="n"/>
      <c r="K25" s="250" t="n"/>
    </row>
    <row r="26">
      <c r="A26" s="150" t="n">
        <v>12</v>
      </c>
      <c r="B26" s="341" t="n"/>
      <c r="C26" s="239" t="inlineStr">
        <is>
          <t>14.4.03.03-0002</t>
        </is>
      </c>
      <c r="D26" s="359" t="inlineStr">
        <is>
          <t>Лак битумный БТ-123</t>
        </is>
      </c>
      <c r="E26" s="351" t="inlineStr">
        <is>
          <t>т</t>
        </is>
      </c>
      <c r="F26" s="351" t="n">
        <v>0.0005999999999999999</v>
      </c>
      <c r="G26" s="190" t="n">
        <v>7826.9</v>
      </c>
      <c r="H26" s="190">
        <f>ROUND(F26*G26,2)</f>
        <v/>
      </c>
      <c r="I26" s="229" t="n"/>
      <c r="J26" s="250" t="n"/>
      <c r="K26" s="250" t="n"/>
    </row>
    <row r="27">
      <c r="A27" s="241" t="n"/>
      <c r="B27" s="242" t="n"/>
      <c r="C27" s="243" t="n"/>
      <c r="D27" s="244" t="n"/>
      <c r="E27" s="245" t="n"/>
      <c r="F27" s="245" t="n"/>
      <c r="G27" s="246" t="n"/>
      <c r="H27" s="246" t="n"/>
      <c r="I27" s="229" t="n"/>
      <c r="J27" s="250" t="n"/>
      <c r="K27" s="250" t="n"/>
    </row>
    <row r="28" hidden="1" s="294"/>
    <row r="30">
      <c r="B30" s="296" t="inlineStr">
        <is>
          <t>Составил ______________________     А.Р. Маркова</t>
        </is>
      </c>
    </row>
    <row r="31">
      <c r="B31" s="199" t="inlineStr">
        <is>
          <t xml:space="preserve">                         (подпись, инициалы, фамилия)</t>
        </is>
      </c>
    </row>
    <row r="33">
      <c r="B33" s="296" t="inlineStr">
        <is>
          <t>Проверил ______________________        А.В. Костянецкая</t>
        </is>
      </c>
    </row>
    <row r="34">
      <c r="B34" s="19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23" sqref="E23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73" t="n"/>
      <c r="C1" s="273" t="n"/>
      <c r="D1" s="273" t="n"/>
      <c r="E1" s="273" t="n"/>
    </row>
    <row r="2">
      <c r="B2" s="273" t="n"/>
      <c r="C2" s="273" t="n"/>
      <c r="D2" s="273" t="n"/>
      <c r="E2" s="367" t="inlineStr">
        <is>
          <t>Приложение № 4</t>
        </is>
      </c>
    </row>
    <row r="3">
      <c r="B3" s="273" t="n"/>
      <c r="C3" s="273" t="n"/>
      <c r="D3" s="273" t="n"/>
      <c r="E3" s="273" t="n"/>
    </row>
    <row r="4">
      <c r="B4" s="273" t="n"/>
      <c r="C4" s="273" t="n"/>
      <c r="D4" s="273" t="n"/>
      <c r="E4" s="273" t="n"/>
    </row>
    <row r="5">
      <c r="B5" s="316" t="inlineStr">
        <is>
          <t>Ресурсная модель</t>
        </is>
      </c>
    </row>
    <row r="6">
      <c r="B6" s="222" t="n"/>
      <c r="C6" s="273" t="n"/>
      <c r="D6" s="273" t="n"/>
      <c r="E6" s="273" t="n"/>
    </row>
    <row r="7" ht="23.25" customHeight="1" s="294">
      <c r="B7" s="346" t="inlineStr">
        <is>
          <t>Наименование разрабатываемого показателя УНЦ — КЛ 35 кВ (с алюминиевой жилой) сечение жилы 400 мм2</t>
        </is>
      </c>
    </row>
    <row r="8">
      <c r="B8" s="347" t="inlineStr">
        <is>
          <t>Единица измерения  — 1 км</t>
        </is>
      </c>
    </row>
    <row r="9">
      <c r="B9" s="222" t="n"/>
      <c r="C9" s="273" t="n"/>
      <c r="D9" s="273" t="n"/>
      <c r="E9" s="273" t="n"/>
    </row>
    <row r="10" ht="51" customHeight="1" s="294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14" t="inlineStr">
        <is>
          <t>Оплата труда рабочих</t>
        </is>
      </c>
      <c r="C11" s="215">
        <f>'Прил.5 Расчет СМР и ОБ'!J15</f>
        <v/>
      </c>
      <c r="D11" s="216">
        <f>C11/$C$24</f>
        <v/>
      </c>
      <c r="E11" s="216">
        <f>C11/$C$40</f>
        <v/>
      </c>
    </row>
    <row r="12">
      <c r="B12" s="214" t="inlineStr">
        <is>
          <t>Эксплуатация машин основных</t>
        </is>
      </c>
      <c r="C12" s="215">
        <f>'Прил.5 Расчет СМР и ОБ'!J22</f>
        <v/>
      </c>
      <c r="D12" s="216">
        <f>C12/$C$24</f>
        <v/>
      </c>
      <c r="E12" s="216">
        <f>C12/$C$40</f>
        <v/>
      </c>
    </row>
    <row r="13">
      <c r="B13" s="214" t="inlineStr">
        <is>
          <t>Эксплуатация машин прочих</t>
        </is>
      </c>
      <c r="C13" s="215">
        <f>'Прил.5 Расчет СМР и ОБ'!J25</f>
        <v/>
      </c>
      <c r="D13" s="216">
        <f>C13/$C$24</f>
        <v/>
      </c>
      <c r="E13" s="216">
        <f>C13/$C$40</f>
        <v/>
      </c>
    </row>
    <row r="14">
      <c r="B14" s="214" t="inlineStr">
        <is>
          <t>ЭКСПЛУАТАЦИЯ МАШИН, ВСЕГО:</t>
        </is>
      </c>
      <c r="C14" s="215">
        <f>C13+C12</f>
        <v/>
      </c>
      <c r="D14" s="216">
        <f>C14/$C$24</f>
        <v/>
      </c>
      <c r="E14" s="216">
        <f>C14/$C$40</f>
        <v/>
      </c>
    </row>
    <row r="15">
      <c r="B15" s="214" t="inlineStr">
        <is>
          <t>в том числе зарплата машинистов</t>
        </is>
      </c>
      <c r="C15" s="215">
        <f>'Прил.5 Расчет СМР и ОБ'!J17</f>
        <v/>
      </c>
      <c r="D15" s="216">
        <f>C15/$C$24</f>
        <v/>
      </c>
      <c r="E15" s="216">
        <f>C15/$C$40</f>
        <v/>
      </c>
    </row>
    <row r="16">
      <c r="B16" s="214" t="inlineStr">
        <is>
          <t>Материалы основные</t>
        </is>
      </c>
      <c r="C16" s="215">
        <f>'Прил.5 Расчет СМР и ОБ'!J36</f>
        <v/>
      </c>
      <c r="D16" s="216">
        <f>C16/$C$24</f>
        <v/>
      </c>
      <c r="E16" s="216">
        <f>C16/$C$40</f>
        <v/>
      </c>
    </row>
    <row r="17">
      <c r="B17" s="214" t="inlineStr">
        <is>
          <t>Материалы прочие</t>
        </is>
      </c>
      <c r="C17" s="215">
        <f>'Прил.5 Расчет СМР и ОБ'!J42</f>
        <v/>
      </c>
      <c r="D17" s="216">
        <f>C17/$C$24</f>
        <v/>
      </c>
      <c r="E17" s="216">
        <f>C17/$C$40</f>
        <v/>
      </c>
      <c r="G17" s="431" t="n"/>
    </row>
    <row r="18">
      <c r="B18" s="214" t="inlineStr">
        <is>
          <t>МАТЕРИАЛЫ, ВСЕГО:</t>
        </is>
      </c>
      <c r="C18" s="215">
        <f>C17+C16</f>
        <v/>
      </c>
      <c r="D18" s="216">
        <f>C18/$C$24</f>
        <v/>
      </c>
      <c r="E18" s="216">
        <f>C18/$C$40</f>
        <v/>
      </c>
    </row>
    <row r="19">
      <c r="B19" s="214" t="inlineStr">
        <is>
          <t>ИТОГО</t>
        </is>
      </c>
      <c r="C19" s="215">
        <f>C18+C14+C11</f>
        <v/>
      </c>
      <c r="D19" s="216" t="n"/>
      <c r="E19" s="214" t="n"/>
    </row>
    <row r="20">
      <c r="B20" s="214" t="inlineStr">
        <is>
          <t>Сметная прибыль, руб.</t>
        </is>
      </c>
      <c r="C20" s="215">
        <f>ROUND(C21*(C11+C15),2)</f>
        <v/>
      </c>
      <c r="D20" s="216">
        <f>C20/$C$24</f>
        <v/>
      </c>
      <c r="E20" s="216">
        <f>C20/$C$40</f>
        <v/>
      </c>
    </row>
    <row r="21">
      <c r="B21" s="214" t="inlineStr">
        <is>
          <t>Сметная прибыль, %</t>
        </is>
      </c>
      <c r="C21" s="219">
        <f>'Прил.5 Расчет СМР и ОБ'!D46</f>
        <v/>
      </c>
      <c r="D21" s="216" t="n"/>
      <c r="E21" s="214" t="n"/>
    </row>
    <row r="22">
      <c r="B22" s="214" t="inlineStr">
        <is>
          <t>Накладные расходы, руб.</t>
        </is>
      </c>
      <c r="C22" s="215">
        <f>ROUND(C23*(C11+C15),2)</f>
        <v/>
      </c>
      <c r="D22" s="216">
        <f>C22/$C$24</f>
        <v/>
      </c>
      <c r="E22" s="216">
        <f>C22/$C$40</f>
        <v/>
      </c>
    </row>
    <row r="23">
      <c r="B23" s="214" t="inlineStr">
        <is>
          <t>Накладные расходы, %</t>
        </is>
      </c>
      <c r="C23" s="219">
        <f>'Прил.5 Расчет СМР и ОБ'!D45</f>
        <v/>
      </c>
      <c r="D23" s="216" t="n"/>
      <c r="E23" s="214" t="n"/>
    </row>
    <row r="24">
      <c r="B24" s="214" t="inlineStr">
        <is>
          <t>ВСЕГО СМР с НР и СП</t>
        </is>
      </c>
      <c r="C24" s="215">
        <f>C19+C20+C22</f>
        <v/>
      </c>
      <c r="D24" s="216">
        <f>C24/$C$24</f>
        <v/>
      </c>
      <c r="E24" s="216">
        <f>C24/$C$40</f>
        <v/>
      </c>
    </row>
    <row r="25" ht="25.5" customHeight="1" s="294">
      <c r="B25" s="214" t="inlineStr">
        <is>
          <t>ВСЕГО стоимость оборудования, в том числе</t>
        </is>
      </c>
      <c r="C25" s="215">
        <f>'Прил.5 Расчет СМР и ОБ'!J31</f>
        <v/>
      </c>
      <c r="D25" s="216" t="n"/>
      <c r="E25" s="216">
        <f>C25/$C$40</f>
        <v/>
      </c>
    </row>
    <row r="26" ht="25.5" customHeight="1" s="294">
      <c r="B26" s="214" t="inlineStr">
        <is>
          <t>стоимость оборудования технологического</t>
        </is>
      </c>
      <c r="C26" s="215">
        <f>'Прил.5 Расчет СМР и ОБ'!J32</f>
        <v/>
      </c>
      <c r="D26" s="216" t="n"/>
      <c r="E26" s="216">
        <f>C26/$C$40</f>
        <v/>
      </c>
    </row>
    <row r="27">
      <c r="B27" s="214" t="inlineStr">
        <is>
          <t>ИТОГО (СМР + ОБОРУДОВАНИЕ)</t>
        </is>
      </c>
      <c r="C27" s="218">
        <f>C24+C25</f>
        <v/>
      </c>
      <c r="D27" s="216" t="n"/>
      <c r="E27" s="216">
        <f>C27/$C$40</f>
        <v/>
      </c>
    </row>
    <row r="28" ht="33" customHeight="1" s="294">
      <c r="B28" s="214" t="inlineStr">
        <is>
          <t>ПРОЧ. ЗАТР., УЧТЕННЫЕ ПОКАЗАТЕЛЕМ,  в том числе</t>
        </is>
      </c>
      <c r="C28" s="214" t="n"/>
      <c r="D28" s="214" t="n"/>
      <c r="E28" s="214" t="n"/>
      <c r="F28" s="217" t="n"/>
    </row>
    <row r="29" ht="25.5" customHeight="1" s="294">
      <c r="B29" s="214" t="inlineStr">
        <is>
          <t>Временные здания и сооружения - 3,9%</t>
        </is>
      </c>
      <c r="C29" s="218">
        <f>ROUND(C24*3.9%,2)</f>
        <v/>
      </c>
      <c r="D29" s="214" t="n"/>
      <c r="E29" s="216">
        <f>C29/$C$40</f>
        <v/>
      </c>
    </row>
    <row r="30" ht="38.25" customHeight="1" s="294">
      <c r="B30" s="214" t="inlineStr">
        <is>
          <t>Дополнительные затраты при производстве строительно-монтажных работ в зимнее время - 2,1%</t>
        </is>
      </c>
      <c r="C30" s="218">
        <f>ROUND((C24+C29)*2.1%,2)</f>
        <v/>
      </c>
      <c r="D30" s="214" t="n"/>
      <c r="E30" s="216">
        <f>C30/$C$40</f>
        <v/>
      </c>
      <c r="F30" s="217" t="n"/>
    </row>
    <row r="31">
      <c r="B31" s="214" t="inlineStr">
        <is>
          <t>Пусконаладочные работы</t>
        </is>
      </c>
      <c r="C31" s="240" t="n">
        <v>0</v>
      </c>
      <c r="D31" s="214" t="n"/>
      <c r="E31" s="216">
        <f>C31/$C$40</f>
        <v/>
      </c>
    </row>
    <row r="32" ht="25.5" customHeight="1" s="294">
      <c r="B32" s="214" t="inlineStr">
        <is>
          <t>Затраты по перевозке работников к месту работы и обратно</t>
        </is>
      </c>
      <c r="C32" s="218">
        <f>ROUND(C27*0%,2)</f>
        <v/>
      </c>
      <c r="D32" s="214" t="n"/>
      <c r="E32" s="216">
        <f>C32/$C$40</f>
        <v/>
      </c>
    </row>
    <row r="33" ht="25.5" customHeight="1" s="294">
      <c r="B33" s="214" t="inlineStr">
        <is>
          <t>Затраты, связанные с осуществлением работ вахтовым методом</t>
        </is>
      </c>
      <c r="C33" s="218">
        <f>ROUND(C28*0%,2)</f>
        <v/>
      </c>
      <c r="D33" s="214" t="n"/>
      <c r="E33" s="216">
        <f>C33/$C$40</f>
        <v/>
      </c>
    </row>
    <row r="34" ht="51" customHeight="1" s="294">
      <c r="B34" s="2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8">
        <f>ROUND(C29*0%,2)</f>
        <v/>
      </c>
      <c r="D34" s="214" t="n"/>
      <c r="E34" s="216">
        <f>C34/$C$40</f>
        <v/>
      </c>
      <c r="H34" s="229" t="n"/>
    </row>
    <row r="35" ht="76.5" customHeight="1" s="294">
      <c r="B35" s="2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8">
        <f>ROUND(C30*0%,2)</f>
        <v/>
      </c>
      <c r="D35" s="214" t="n"/>
      <c r="E35" s="216">
        <f>C35/$C$40</f>
        <v/>
      </c>
    </row>
    <row r="36" ht="25.5" customHeight="1" s="294">
      <c r="B36" s="214" t="inlineStr">
        <is>
          <t>Строительный контроль и содержание службы заказчика - 2,14%</t>
        </is>
      </c>
      <c r="C36" s="218">
        <f>ROUND((C27+C32+C33+C34+C35+C29+C31+C30)*2.14%,2)</f>
        <v/>
      </c>
      <c r="D36" s="214" t="n"/>
      <c r="E36" s="216">
        <f>C36/$C$40</f>
        <v/>
      </c>
      <c r="G36" s="287" t="n"/>
      <c r="L36" s="217" t="n"/>
    </row>
    <row r="37">
      <c r="B37" s="214" t="inlineStr">
        <is>
          <t>Авторский надзор - 0,2%</t>
        </is>
      </c>
      <c r="C37" s="218">
        <f>ROUND((C27+C32+C33+C34+C35+C29+C31+C30)*0.2%,2)</f>
        <v/>
      </c>
      <c r="D37" s="214" t="n"/>
      <c r="E37" s="216">
        <f>C37/$C$40</f>
        <v/>
      </c>
      <c r="G37" s="288" t="n"/>
      <c r="L37" s="217" t="n"/>
    </row>
    <row r="38" ht="38.25" customHeight="1" s="294">
      <c r="B38" s="214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14" t="n"/>
      <c r="E38" s="216">
        <f>C38/$C$40</f>
        <v/>
      </c>
    </row>
    <row r="39" ht="13.65" customHeight="1" s="294">
      <c r="B39" s="214" t="inlineStr">
        <is>
          <t>Непредвиденные расходы</t>
        </is>
      </c>
      <c r="C39" s="215">
        <f>ROUND(C38*3%,2)</f>
        <v/>
      </c>
      <c r="D39" s="214" t="n"/>
      <c r="E39" s="216">
        <f>C39/$C$38</f>
        <v/>
      </c>
    </row>
    <row r="40">
      <c r="B40" s="214" t="inlineStr">
        <is>
          <t>ВСЕГО:</t>
        </is>
      </c>
      <c r="C40" s="215">
        <f>C39+C38</f>
        <v/>
      </c>
      <c r="D40" s="214" t="n"/>
      <c r="E40" s="216">
        <f>C40/$C$40</f>
        <v/>
      </c>
    </row>
    <row r="41">
      <c r="B41" s="214" t="inlineStr">
        <is>
          <t>ИТОГО ПОКАЗАТЕЛЬ НА ЕД. ИЗМ.</t>
        </is>
      </c>
      <c r="C41" s="215">
        <f>C40/'Прил.5 Расчет СМР и ОБ'!E49</f>
        <v/>
      </c>
      <c r="D41" s="214" t="n"/>
      <c r="E41" s="214" t="n"/>
    </row>
    <row r="42">
      <c r="B42" s="213" t="n"/>
      <c r="C42" s="273" t="n"/>
      <c r="D42" s="273" t="n"/>
      <c r="E42" s="273" t="n"/>
    </row>
    <row r="43">
      <c r="B43" s="213" t="inlineStr">
        <is>
          <t>Составил ____________________________ А.Р. Маркова</t>
        </is>
      </c>
      <c r="C43" s="273" t="n"/>
      <c r="D43" s="273" t="n"/>
      <c r="E43" s="273" t="n"/>
    </row>
    <row r="44">
      <c r="B44" s="213" t="inlineStr">
        <is>
          <t xml:space="preserve">(должность, подпись, инициалы, фамилия) </t>
        </is>
      </c>
      <c r="C44" s="273" t="n"/>
      <c r="D44" s="273" t="n"/>
      <c r="E44" s="273" t="n"/>
    </row>
    <row r="45">
      <c r="B45" s="213" t="n"/>
      <c r="C45" s="273" t="n"/>
      <c r="D45" s="273" t="n"/>
      <c r="E45" s="273" t="n"/>
    </row>
    <row r="46">
      <c r="B46" s="213" t="inlineStr">
        <is>
          <t>Проверил ____________________________ А.В. Костянецкая</t>
        </is>
      </c>
      <c r="C46" s="273" t="n"/>
      <c r="D46" s="273" t="n"/>
      <c r="E46" s="273" t="n"/>
    </row>
    <row r="47">
      <c r="B47" s="347" t="inlineStr">
        <is>
          <t>(должность, подпись, инициалы, фамилия)</t>
        </is>
      </c>
      <c r="D47" s="273" t="n"/>
      <c r="E47" s="273" t="n"/>
    </row>
    <row r="49">
      <c r="B49" s="273" t="n"/>
      <c r="C49" s="273" t="n"/>
      <c r="D49" s="273" t="n"/>
      <c r="E49" s="273" t="n"/>
    </row>
    <row r="50">
      <c r="B50" s="273" t="n"/>
      <c r="C50" s="273" t="n"/>
      <c r="D50" s="273" t="n"/>
      <c r="E50" s="2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B28" sqref="B28:H28"/>
    </sheetView>
  </sheetViews>
  <sheetFormatPr baseColWidth="8" defaultColWidth="9.109375" defaultRowHeight="14.4" outlineLevelRow="1"/>
  <cols>
    <col width="5.6640625" customWidth="1" style="274" min="1" max="1"/>
    <col width="22.5546875" customWidth="1" style="274" min="2" max="2"/>
    <col width="39.109375" customWidth="1" style="274" min="3" max="3"/>
    <col width="10.6640625" customWidth="1" style="274" min="4" max="4"/>
    <col width="12.6640625" customWidth="1" style="274" min="5" max="5"/>
    <col width="15" customWidth="1" style="274" min="6" max="6"/>
    <col width="13.44140625" customWidth="1" style="274" min="7" max="7"/>
    <col width="12.6640625" customWidth="1" style="274" min="8" max="8"/>
    <col width="13.88671875" customWidth="1" style="274" min="9" max="9"/>
    <col width="17.5546875" customWidth="1" style="274" min="10" max="10"/>
    <col width="10.88671875" customWidth="1" style="274" min="11" max="11"/>
    <col width="9.109375" customWidth="1" style="274" min="12" max="12"/>
    <col width="9.109375" customWidth="1" style="294" min="13" max="13"/>
  </cols>
  <sheetData>
    <row r="1" s="294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4">
      <c r="A2" s="274" t="n"/>
      <c r="B2" s="274" t="n"/>
      <c r="C2" s="274" t="n"/>
      <c r="D2" s="274" t="n"/>
      <c r="E2" s="274" t="n"/>
      <c r="F2" s="274" t="n"/>
      <c r="G2" s="274" t="n"/>
      <c r="H2" s="348" t="inlineStr">
        <is>
          <t>Приложение №5</t>
        </is>
      </c>
      <c r="K2" s="274" t="n"/>
      <c r="L2" s="274" t="n"/>
      <c r="M2" s="274" t="n"/>
      <c r="N2" s="274" t="n"/>
    </row>
    <row r="3" s="294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73">
      <c r="A4" s="316" t="inlineStr">
        <is>
          <t>Расчет стоимости СМР и оборудования</t>
        </is>
      </c>
    </row>
    <row r="5" ht="12.75" customFormat="1" customHeight="1" s="273">
      <c r="A5" s="316" t="n"/>
      <c r="B5" s="316" t="n"/>
      <c r="C5" s="376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73">
      <c r="A6" s="193" t="inlineStr">
        <is>
          <t>Наименование разрабатываемого показателя УНЦ</t>
        </is>
      </c>
      <c r="B6" s="192" t="n"/>
      <c r="C6" s="192" t="n"/>
      <c r="D6" s="319" t="inlineStr">
        <is>
          <t>КЛ 35 кВ (с алюминиевой жилой) сечение жилы 400 мм2</t>
        </is>
      </c>
    </row>
    <row r="7" ht="12.75" customFormat="1" customHeight="1" s="273">
      <c r="A7" s="319" t="inlineStr">
        <is>
          <t>Единица измерения  — 1 км</t>
        </is>
      </c>
      <c r="I7" s="346" t="n"/>
      <c r="J7" s="346" t="n"/>
    </row>
    <row r="8" ht="13.65" customFormat="1" customHeight="1" s="273">
      <c r="A8" s="319" t="n"/>
    </row>
    <row r="9" ht="13.2" customFormat="1" customHeight="1" s="273"/>
    <row r="10" ht="27" customHeight="1" s="294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1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1" t="n"/>
      <c r="K10" s="274" t="n"/>
      <c r="L10" s="274" t="n"/>
      <c r="M10" s="274" t="n"/>
      <c r="N10" s="274" t="n"/>
    </row>
    <row r="11" ht="28.5" customHeight="1" s="294">
      <c r="A11" s="423" t="n"/>
      <c r="B11" s="423" t="n"/>
      <c r="C11" s="423" t="n"/>
      <c r="D11" s="423" t="n"/>
      <c r="E11" s="423" t="n"/>
      <c r="F11" s="351" t="inlineStr">
        <is>
          <t>на ед. изм.</t>
        </is>
      </c>
      <c r="G11" s="351" t="inlineStr">
        <is>
          <t>общая</t>
        </is>
      </c>
      <c r="H11" s="423" t="n"/>
      <c r="I11" s="351" t="inlineStr">
        <is>
          <t>на ед. изм.</t>
        </is>
      </c>
      <c r="J11" s="351" t="inlineStr">
        <is>
          <t>общая</t>
        </is>
      </c>
      <c r="K11" s="274" t="n"/>
      <c r="L11" s="274" t="n"/>
      <c r="M11" s="274" t="n"/>
      <c r="N11" s="274" t="n"/>
    </row>
    <row r="12" s="294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274" t="n"/>
      <c r="L12" s="274" t="n"/>
      <c r="M12" s="274" t="n"/>
      <c r="N12" s="274" t="n"/>
    </row>
    <row r="13">
      <c r="A13" s="351" t="n"/>
      <c r="B13" s="358" t="inlineStr">
        <is>
          <t>Затраты труда рабочих-строителей</t>
        </is>
      </c>
      <c r="C13" s="420" t="n"/>
      <c r="D13" s="420" t="n"/>
      <c r="E13" s="420" t="n"/>
      <c r="F13" s="420" t="n"/>
      <c r="G13" s="420" t="n"/>
      <c r="H13" s="421" t="n"/>
      <c r="I13" s="278" t="n"/>
      <c r="J13" s="278" t="n"/>
    </row>
    <row r="14" ht="25.5" customHeight="1" s="294">
      <c r="A14" s="351" t="n">
        <v>1</v>
      </c>
      <c r="B14" s="239" t="inlineStr">
        <is>
          <t>1-3-8</t>
        </is>
      </c>
      <c r="C14" s="359" t="inlineStr">
        <is>
          <t>Затраты труда рабочих-строителей среднего разряда (3,8)</t>
        </is>
      </c>
      <c r="D14" s="351" t="inlineStr">
        <is>
          <t>чел.-ч.</t>
        </is>
      </c>
      <c r="E14" s="432">
        <f>G14/F14</f>
        <v/>
      </c>
      <c r="F14" s="190" t="n">
        <v>9.4</v>
      </c>
      <c r="G14" s="190">
        <f>'Прил. 3'!H11</f>
        <v/>
      </c>
      <c r="H14" s="191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4">
      <c r="A15" s="351" t="n"/>
      <c r="B15" s="351" t="n"/>
      <c r="C15" s="358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3">
        <f>SUM(E14:E14)</f>
        <v/>
      </c>
      <c r="F15" s="190" t="n"/>
      <c r="G15" s="190">
        <f>SUM(G14:G14)</f>
        <v/>
      </c>
      <c r="H15" s="362" t="n">
        <v>1</v>
      </c>
      <c r="I15" s="278" t="n"/>
      <c r="J15" s="190">
        <f>SUM(J14:J14)</f>
        <v/>
      </c>
    </row>
    <row r="16" ht="14.25" customFormat="1" customHeight="1" s="274">
      <c r="A16" s="351" t="n"/>
      <c r="B16" s="359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78" t="n"/>
      <c r="J16" s="278" t="n"/>
    </row>
    <row r="17" ht="14.25" customFormat="1" customHeight="1" s="274">
      <c r="A17" s="351" t="n">
        <v>2</v>
      </c>
      <c r="B17" s="351" t="n">
        <v>2</v>
      </c>
      <c r="C17" s="359" t="inlineStr">
        <is>
          <t>Затраты труда машинистов</t>
        </is>
      </c>
      <c r="D17" s="351" t="inlineStr">
        <is>
          <t>чел.-ч.</t>
        </is>
      </c>
      <c r="E17" s="432" t="n">
        <v>38.8</v>
      </c>
      <c r="F17" s="190">
        <f>G17/E17</f>
        <v/>
      </c>
      <c r="G17" s="190">
        <f>'Прил. 3'!H13</f>
        <v/>
      </c>
      <c r="H17" s="362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4">
      <c r="A18" s="351" t="n"/>
      <c r="B18" s="35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278" t="n"/>
      <c r="J18" s="278" t="n"/>
    </row>
    <row r="19" ht="14.25" customFormat="1" customHeight="1" s="274">
      <c r="A19" s="351" t="n"/>
      <c r="B19" s="359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78" t="n"/>
      <c r="J19" s="278" t="n"/>
    </row>
    <row r="20" ht="25.5" customFormat="1" customHeight="1" s="274">
      <c r="A20" s="351" t="n">
        <v>3</v>
      </c>
      <c r="B20" s="239" t="inlineStr">
        <is>
          <t>91.05.05-015</t>
        </is>
      </c>
      <c r="C20" s="359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432" t="n">
        <v>19.4</v>
      </c>
      <c r="F20" s="372" t="n">
        <v>115.4</v>
      </c>
      <c r="G20" s="190">
        <f>ROUND(E20*F20,2)</f>
        <v/>
      </c>
      <c r="H20" s="191">
        <f>G20/$G$26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4">
      <c r="A21" s="351" t="n">
        <v>4</v>
      </c>
      <c r="B21" s="239" t="inlineStr">
        <is>
          <t>91.14.02-001</t>
        </is>
      </c>
      <c r="C21" s="359" t="inlineStr">
        <is>
          <t>Автомобили бортовые, грузоподъемность до 5 т</t>
        </is>
      </c>
      <c r="D21" s="351" t="inlineStr">
        <is>
          <t>маш.час</t>
        </is>
      </c>
      <c r="E21" s="432" t="n">
        <v>19.4</v>
      </c>
      <c r="F21" s="372" t="n">
        <v>65.70999999999999</v>
      </c>
      <c r="G21" s="190">
        <f>ROUND(E21*F21,2)</f>
        <v/>
      </c>
      <c r="H21" s="191">
        <f>G21/$G$26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4">
      <c r="A22" s="351" t="n"/>
      <c r="B22" s="351" t="n"/>
      <c r="C22" s="359" t="inlineStr">
        <is>
          <t>Итого основные машины и механизмы</t>
        </is>
      </c>
      <c r="D22" s="351" t="n"/>
      <c r="E22" s="433" t="n"/>
      <c r="F22" s="190" t="n"/>
      <c r="G22" s="190">
        <f>SUM(G20:G21)</f>
        <v/>
      </c>
      <c r="H22" s="362">
        <f>G22/G26</f>
        <v/>
      </c>
      <c r="I22" s="187" t="n"/>
      <c r="J22" s="190">
        <f>SUM(J20:J21)</f>
        <v/>
      </c>
    </row>
    <row r="23" outlineLevel="1" ht="25.5" customFormat="1" customHeight="1" s="274">
      <c r="A23" s="351" t="n">
        <v>5</v>
      </c>
      <c r="B23" s="239" t="inlineStr">
        <is>
          <t>91.06.03-062</t>
        </is>
      </c>
      <c r="C23" s="359" t="inlineStr">
        <is>
          <t>Лебедки электрические тяговым усилием до 31,39 кН (3,2 т)</t>
        </is>
      </c>
      <c r="D23" s="351" t="inlineStr">
        <is>
          <t>маш.час</t>
        </is>
      </c>
      <c r="E23" s="432" t="n">
        <v>39.7</v>
      </c>
      <c r="F23" s="372" t="n">
        <v>6.9</v>
      </c>
      <c r="G23" s="190">
        <f>ROUND(E23*F23,2)</f>
        <v/>
      </c>
      <c r="H23" s="191">
        <f>G23/$G$26</f>
        <v/>
      </c>
      <c r="I23" s="190">
        <f>ROUND(F23*'Прил. 10'!$D$12,2)</f>
        <v/>
      </c>
      <c r="J23" s="190">
        <f>ROUND(I23*E23,2)</f>
        <v/>
      </c>
    </row>
    <row r="24" outlineLevel="1" ht="25.5" customFormat="1" customHeight="1" s="274">
      <c r="A24" s="351" t="n">
        <v>6</v>
      </c>
      <c r="B24" s="239" t="inlineStr">
        <is>
          <t>91.06.01-003</t>
        </is>
      </c>
      <c r="C24" s="359" t="inlineStr">
        <is>
          <t>Домкраты гидравлические, грузоподъемность 63-100 т</t>
        </is>
      </c>
      <c r="D24" s="351" t="inlineStr">
        <is>
          <t>маш.час</t>
        </is>
      </c>
      <c r="E24" s="432" t="n">
        <v>39.7</v>
      </c>
      <c r="F24" s="372" t="n">
        <v>0.9</v>
      </c>
      <c r="G24" s="190">
        <f>ROUND(E24*F24,2)</f>
        <v/>
      </c>
      <c r="H24" s="191">
        <f>G24/$G$26</f>
        <v/>
      </c>
      <c r="I24" s="190">
        <f>ROUND(F24*'Прил. 10'!$D$12,2)</f>
        <v/>
      </c>
      <c r="J24" s="190">
        <f>ROUND(I24*E24,2)</f>
        <v/>
      </c>
    </row>
    <row r="25" ht="14.25" customFormat="1" customHeight="1" s="274">
      <c r="A25" s="351" t="n"/>
      <c r="B25" s="351" t="n"/>
      <c r="C25" s="359" t="inlineStr">
        <is>
          <t>Итого прочие машины и механизмы</t>
        </is>
      </c>
      <c r="D25" s="351" t="n"/>
      <c r="E25" s="360" t="n"/>
      <c r="F25" s="190" t="n"/>
      <c r="G25" s="187">
        <f>SUM(G23:G24)</f>
        <v/>
      </c>
      <c r="H25" s="191">
        <f>G25/G26</f>
        <v/>
      </c>
      <c r="I25" s="190" t="n"/>
      <c r="J25" s="190">
        <f>SUM(J23:J24)</f>
        <v/>
      </c>
    </row>
    <row r="26" ht="25.5" customFormat="1" customHeight="1" s="274">
      <c r="A26" s="351" t="n"/>
      <c r="B26" s="351" t="n"/>
      <c r="C26" s="358" t="inlineStr">
        <is>
          <t>Итого по разделу «Машины и механизмы»</t>
        </is>
      </c>
      <c r="D26" s="351" t="n"/>
      <c r="E26" s="360" t="n"/>
      <c r="F26" s="190" t="n"/>
      <c r="G26" s="190">
        <f>G25+G22</f>
        <v/>
      </c>
      <c r="H26" s="184" t="n">
        <v>1</v>
      </c>
      <c r="I26" s="185" t="n"/>
      <c r="J26" s="196">
        <f>J25+J22</f>
        <v/>
      </c>
    </row>
    <row r="27" ht="14.25" customFormat="1" customHeight="1" s="274">
      <c r="A27" s="351" t="n"/>
      <c r="B27" s="358" t="inlineStr">
        <is>
          <t>Оборудование</t>
        </is>
      </c>
      <c r="C27" s="420" t="n"/>
      <c r="D27" s="420" t="n"/>
      <c r="E27" s="420" t="n"/>
      <c r="F27" s="420" t="n"/>
      <c r="G27" s="420" t="n"/>
      <c r="H27" s="421" t="n"/>
      <c r="I27" s="278" t="n"/>
      <c r="J27" s="278" t="n"/>
    </row>
    <row r="28">
      <c r="A28" s="351" t="n"/>
      <c r="B28" s="359" t="inlineStr">
        <is>
          <t>Основное оборудование</t>
        </is>
      </c>
      <c r="C28" s="420" t="n"/>
      <c r="D28" s="420" t="n"/>
      <c r="E28" s="420" t="n"/>
      <c r="F28" s="420" t="n"/>
      <c r="G28" s="420" t="n"/>
      <c r="H28" s="421" t="n"/>
      <c r="I28" s="278" t="n"/>
      <c r="J28" s="278" t="n"/>
      <c r="K28" s="274" t="n"/>
      <c r="L28" s="274" t="n"/>
    </row>
    <row r="29">
      <c r="A29" s="351" t="n"/>
      <c r="B29" s="351" t="n"/>
      <c r="C29" s="359" t="inlineStr">
        <is>
          <t>Итого основное оборудование</t>
        </is>
      </c>
      <c r="D29" s="351" t="n"/>
      <c r="E29" s="432" t="n"/>
      <c r="F29" s="361" t="n"/>
      <c r="G29" s="190" t="n">
        <v>0</v>
      </c>
      <c r="H29" s="191" t="n">
        <v>0</v>
      </c>
      <c r="I29" s="187" t="n"/>
      <c r="J29" s="190" t="n">
        <v>0</v>
      </c>
      <c r="K29" s="274" t="n"/>
      <c r="L29" s="274" t="n"/>
    </row>
    <row r="30">
      <c r="A30" s="351" t="n"/>
      <c r="B30" s="351" t="n"/>
      <c r="C30" s="359" t="inlineStr">
        <is>
          <t>Итого прочее оборудование</t>
        </is>
      </c>
      <c r="D30" s="351" t="n"/>
      <c r="E30" s="433" t="n"/>
      <c r="F30" s="361" t="n"/>
      <c r="G30" s="190" t="n">
        <v>0</v>
      </c>
      <c r="H30" s="191" t="n">
        <v>0</v>
      </c>
      <c r="I30" s="187" t="n"/>
      <c r="J30" s="190" t="n">
        <v>0</v>
      </c>
      <c r="K30" s="274" t="n"/>
      <c r="L30" s="274" t="n"/>
    </row>
    <row r="31">
      <c r="A31" s="351" t="n"/>
      <c r="B31" s="351" t="n"/>
      <c r="C31" s="358" t="inlineStr">
        <is>
          <t>Итого по разделу «Оборудование»</t>
        </is>
      </c>
      <c r="D31" s="351" t="n"/>
      <c r="E31" s="360" t="n"/>
      <c r="F31" s="361" t="n"/>
      <c r="G31" s="190">
        <f>G29+G30</f>
        <v/>
      </c>
      <c r="H31" s="191" t="n">
        <v>0</v>
      </c>
      <c r="I31" s="187" t="n"/>
      <c r="J31" s="190">
        <f>J30+J29</f>
        <v/>
      </c>
      <c r="K31" s="274" t="n"/>
      <c r="L31" s="274" t="n"/>
    </row>
    <row r="32" ht="25.5" customHeight="1" s="294">
      <c r="A32" s="351" t="n"/>
      <c r="B32" s="351" t="n"/>
      <c r="C32" s="359" t="inlineStr">
        <is>
          <t>в том числе технологическое оборудование</t>
        </is>
      </c>
      <c r="D32" s="351" t="n"/>
      <c r="E32" s="432" t="n"/>
      <c r="F32" s="361" t="n"/>
      <c r="G32" s="190">
        <f>'Прил.6 Расчет ОБ'!G12</f>
        <v/>
      </c>
      <c r="H32" s="362" t="n"/>
      <c r="I32" s="187" t="n"/>
      <c r="J32" s="190">
        <f>J31</f>
        <v/>
      </c>
      <c r="K32" s="274" t="n"/>
      <c r="L32" s="274" t="n"/>
    </row>
    <row r="33" ht="14.25" customFormat="1" customHeight="1" s="274">
      <c r="A33" s="351" t="n"/>
      <c r="B33" s="358" t="inlineStr">
        <is>
          <t>Материалы</t>
        </is>
      </c>
      <c r="C33" s="420" t="n"/>
      <c r="D33" s="420" t="n"/>
      <c r="E33" s="420" t="n"/>
      <c r="F33" s="420" t="n"/>
      <c r="G33" s="420" t="n"/>
      <c r="H33" s="421" t="n"/>
      <c r="I33" s="278" t="n"/>
      <c r="J33" s="278" t="n"/>
    </row>
    <row r="34" ht="14.25" customFormat="1" customHeight="1" s="274">
      <c r="A34" s="352" t="n"/>
      <c r="B34" s="354" t="inlineStr">
        <is>
          <t>Основные материалы</t>
        </is>
      </c>
      <c r="C34" s="434" t="n"/>
      <c r="D34" s="434" t="n"/>
      <c r="E34" s="434" t="n"/>
      <c r="F34" s="434" t="n"/>
      <c r="G34" s="434" t="n"/>
      <c r="H34" s="435" t="n"/>
      <c r="I34" s="279" t="n"/>
      <c r="J34" s="279" t="n"/>
    </row>
    <row r="35" ht="14.25" customFormat="1" customHeight="1" s="274">
      <c r="A35" s="351" t="n">
        <v>7</v>
      </c>
      <c r="B35" s="252" t="inlineStr">
        <is>
          <t>БЦ.81.386</t>
        </is>
      </c>
      <c r="C35" s="359" t="inlineStr">
        <is>
          <t>Кабель алюминиевый 35 кВ 1х400</t>
        </is>
      </c>
      <c r="D35" s="351" t="inlineStr">
        <is>
          <t>км</t>
        </is>
      </c>
      <c r="E35" s="432">
        <f>1*3.3</f>
        <v/>
      </c>
      <c r="F35" s="361">
        <f>ROUND(I35/'Прил. 10'!$D$13,2)</f>
        <v/>
      </c>
      <c r="G35" s="190">
        <f>ROUND(E35*F35,2)</f>
        <v/>
      </c>
      <c r="H35" s="191">
        <f>G35/$G$43</f>
        <v/>
      </c>
      <c r="I35" s="190" t="n">
        <v>1755728.98</v>
      </c>
      <c r="J35" s="190">
        <f>ROUND(I35*E35,2)</f>
        <v/>
      </c>
    </row>
    <row r="36" ht="14.25" customFormat="1" customHeight="1" s="274">
      <c r="A36" s="353" t="n"/>
      <c r="B36" s="194" t="n"/>
      <c r="C36" s="195" t="inlineStr">
        <is>
          <t>Итого основные материалы</t>
        </is>
      </c>
      <c r="D36" s="353" t="n"/>
      <c r="E36" s="436" t="n"/>
      <c r="F36" s="196" t="n"/>
      <c r="G36" s="196">
        <f>SUM(G35:G35)</f>
        <v/>
      </c>
      <c r="H36" s="191">
        <f>G36/$G$43</f>
        <v/>
      </c>
      <c r="I36" s="190" t="n"/>
      <c r="J36" s="196">
        <f>SUM(J35:J35)</f>
        <v/>
      </c>
    </row>
    <row r="37" outlineLevel="1" ht="25.5" customFormat="1" customHeight="1" s="274">
      <c r="A37" s="351" t="n">
        <v>8</v>
      </c>
      <c r="B37" s="239" t="inlineStr">
        <is>
          <t>08.3.08.02-0052</t>
        </is>
      </c>
      <c r="C37" s="359" t="inlineStr">
        <is>
          <t>Уголок горячекатаный, марка стали ВСт3кп2, размер 50х50х5 мм</t>
        </is>
      </c>
      <c r="D37" s="351" t="inlineStr">
        <is>
          <t>т</t>
        </is>
      </c>
      <c r="E37" s="432" t="n">
        <v>0.1</v>
      </c>
      <c r="F37" s="190" t="n">
        <v>5763</v>
      </c>
      <c r="G37" s="190">
        <f>ROUND(E37*F37,2)</f>
        <v/>
      </c>
      <c r="H37" s="191">
        <f>G37/$G$43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4">
      <c r="A38" s="351" t="n">
        <v>9</v>
      </c>
      <c r="B38" s="239" t="inlineStr">
        <is>
          <t>14.4.02.09-0001</t>
        </is>
      </c>
      <c r="C38" s="359" t="inlineStr">
        <is>
          <t>Краска</t>
        </is>
      </c>
      <c r="D38" s="351" t="inlineStr">
        <is>
          <t>кг</t>
        </is>
      </c>
      <c r="E38" s="432" t="n">
        <v>2.5</v>
      </c>
      <c r="F38" s="190" t="n">
        <v>28.6</v>
      </c>
      <c r="G38" s="190">
        <f>ROUND(E38*F38,2)</f>
        <v/>
      </c>
      <c r="H38" s="191">
        <f>G38/$G$43</f>
        <v/>
      </c>
      <c r="I38" s="190">
        <f>ROUND(F38*'Прил. 10'!$D$13,2)</f>
        <v/>
      </c>
      <c r="J38" s="190">
        <f>ROUND(I38*E38,2)</f>
        <v/>
      </c>
    </row>
    <row r="39" outlineLevel="1" ht="38.25" customFormat="1" customHeight="1" s="274">
      <c r="A39" s="351" t="n">
        <v>10</v>
      </c>
      <c r="B39" s="239" t="inlineStr">
        <is>
          <t>08.3.07.01-0076</t>
        </is>
      </c>
      <c r="C39" s="359" t="inlineStr">
        <is>
          <t>Прокат полосовой, горячекатаный, марка стали Ст3сп, ширина 50-200 мм, толщина 4-5 мм</t>
        </is>
      </c>
      <c r="D39" s="351" t="inlineStr">
        <is>
          <t>т</t>
        </is>
      </c>
      <c r="E39" s="432" t="n">
        <v>0.01</v>
      </c>
      <c r="F39" s="190" t="n">
        <v>5000</v>
      </c>
      <c r="G39" s="190">
        <f>ROUND(E39*F39,2)</f>
        <v/>
      </c>
      <c r="H39" s="191">
        <f>G39/$G$43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4">
      <c r="A40" s="351" t="n">
        <v>11</v>
      </c>
      <c r="B40" s="239" t="inlineStr">
        <is>
          <t>01.7.06.07-0002</t>
        </is>
      </c>
      <c r="C40" s="359" t="inlineStr">
        <is>
          <t>Лента монтажная, тип ЛМ-5</t>
        </is>
      </c>
      <c r="D40" s="351" t="inlineStr">
        <is>
          <t>10 м</t>
        </is>
      </c>
      <c r="E40" s="432" t="n">
        <v>0.96</v>
      </c>
      <c r="F40" s="190" t="n">
        <v>6.9</v>
      </c>
      <c r="G40" s="190">
        <f>ROUND(E40*F40,2)</f>
        <v/>
      </c>
      <c r="H40" s="191">
        <f>G40/$G$43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4">
      <c r="A41" s="351" t="n">
        <v>12</v>
      </c>
      <c r="B41" s="239" t="inlineStr">
        <is>
          <t>14.4.03.03-0002</t>
        </is>
      </c>
      <c r="C41" s="359" t="inlineStr">
        <is>
          <t>Лак битумный БТ-123</t>
        </is>
      </c>
      <c r="D41" s="351" t="inlineStr">
        <is>
          <t>т</t>
        </is>
      </c>
      <c r="E41" s="432" t="n">
        <v>0.0005999999999999999</v>
      </c>
      <c r="F41" s="190" t="n">
        <v>7826.9</v>
      </c>
      <c r="G41" s="190">
        <f>ROUND(E41*F41,2)</f>
        <v/>
      </c>
      <c r="H41" s="191">
        <f>G41/$G$43</f>
        <v/>
      </c>
      <c r="I41" s="190">
        <f>ROUND(F41*'Прил. 10'!$D$13,2)</f>
        <v/>
      </c>
      <c r="J41" s="190">
        <f>ROUND(I41*E41,2)</f>
        <v/>
      </c>
    </row>
    <row r="42" ht="14.25" customFormat="1" customHeight="1" s="274">
      <c r="A42" s="351" t="n"/>
      <c r="B42" s="351" t="n"/>
      <c r="C42" s="359" t="inlineStr">
        <is>
          <t>Итого прочие материалы</t>
        </is>
      </c>
      <c r="D42" s="351" t="n"/>
      <c r="E42" s="432" t="n"/>
      <c r="F42" s="361" t="n"/>
      <c r="G42" s="190">
        <f>SUM(G37:G41)</f>
        <v/>
      </c>
      <c r="H42" s="191">
        <f>G42/$G$43</f>
        <v/>
      </c>
      <c r="I42" s="190" t="n"/>
      <c r="J42" s="190">
        <f>SUM(J37:J41)</f>
        <v/>
      </c>
    </row>
    <row r="43" ht="14.25" customFormat="1" customHeight="1" s="274">
      <c r="A43" s="351" t="n"/>
      <c r="B43" s="351" t="n"/>
      <c r="C43" s="358" t="inlineStr">
        <is>
          <t>Итого по разделу «Материалы»</t>
        </is>
      </c>
      <c r="D43" s="351" t="n"/>
      <c r="E43" s="360" t="n"/>
      <c r="F43" s="361" t="n"/>
      <c r="G43" s="190">
        <f>G36+G42</f>
        <v/>
      </c>
      <c r="H43" s="362">
        <f>G43/$G$43</f>
        <v/>
      </c>
      <c r="I43" s="190" t="n"/>
      <c r="J43" s="190">
        <f>J36+J42</f>
        <v/>
      </c>
    </row>
    <row r="44" ht="14.25" customFormat="1" customHeight="1" s="274">
      <c r="A44" s="351" t="n"/>
      <c r="B44" s="351" t="n"/>
      <c r="C44" s="359" t="inlineStr">
        <is>
          <t>ИТОГО ПО РМ</t>
        </is>
      </c>
      <c r="D44" s="351" t="n"/>
      <c r="E44" s="360" t="n"/>
      <c r="F44" s="361" t="n"/>
      <c r="G44" s="190">
        <f>G15+G26+G43</f>
        <v/>
      </c>
      <c r="H44" s="362" t="n"/>
      <c r="I44" s="190" t="n"/>
      <c r="J44" s="190">
        <f>J15+J26+J43</f>
        <v/>
      </c>
    </row>
    <row r="45" ht="14.25" customFormat="1" customHeight="1" s="274">
      <c r="A45" s="351" t="n"/>
      <c r="B45" s="351" t="n"/>
      <c r="C45" s="359" t="inlineStr">
        <is>
          <t>Накладные расходы</t>
        </is>
      </c>
      <c r="D45" s="188">
        <f>ROUND(G45/(G$17+$G$15),2)</f>
        <v/>
      </c>
      <c r="E45" s="360" t="n"/>
      <c r="F45" s="361" t="n"/>
      <c r="G45" s="190" t="n">
        <v>2077.06</v>
      </c>
      <c r="H45" s="362" t="n"/>
      <c r="I45" s="190" t="n"/>
      <c r="J45" s="190">
        <f>ROUND(D45*(J15+J17),2)</f>
        <v/>
      </c>
    </row>
    <row r="46" ht="14.25" customFormat="1" customHeight="1" s="274">
      <c r="A46" s="351" t="n"/>
      <c r="B46" s="351" t="n"/>
      <c r="C46" s="359" t="inlineStr">
        <is>
          <t>Сметная прибыль</t>
        </is>
      </c>
      <c r="D46" s="188">
        <f>ROUND(G46/(G$15+G$17),2)</f>
        <v/>
      </c>
      <c r="E46" s="360" t="n"/>
      <c r="F46" s="361" t="n"/>
      <c r="G46" s="190" t="n">
        <v>1092.06</v>
      </c>
      <c r="H46" s="362" t="n"/>
      <c r="I46" s="190" t="n"/>
      <c r="J46" s="190">
        <f>ROUND(D46*(J15+J17),2)</f>
        <v/>
      </c>
    </row>
    <row r="47" ht="14.25" customFormat="1" customHeight="1" s="274">
      <c r="A47" s="351" t="n"/>
      <c r="B47" s="351" t="n"/>
      <c r="C47" s="359" t="inlineStr">
        <is>
          <t>Итого СМР (с НР и СП)</t>
        </is>
      </c>
      <c r="D47" s="351" t="n"/>
      <c r="E47" s="360" t="n"/>
      <c r="F47" s="361" t="n"/>
      <c r="G47" s="190">
        <f>G15+G26+G43+G45+G46</f>
        <v/>
      </c>
      <c r="H47" s="362" t="n"/>
      <c r="I47" s="190" t="n"/>
      <c r="J47" s="190">
        <f>J15+J26+J43+J45+J46</f>
        <v/>
      </c>
    </row>
    <row r="48" ht="14.25" customFormat="1" customHeight="1" s="274">
      <c r="A48" s="351" t="n"/>
      <c r="B48" s="351" t="n"/>
      <c r="C48" s="359" t="inlineStr">
        <is>
          <t>ВСЕГО СМР + ОБОРУДОВАНИЕ</t>
        </is>
      </c>
      <c r="D48" s="351" t="n"/>
      <c r="E48" s="360" t="n"/>
      <c r="F48" s="361" t="n"/>
      <c r="G48" s="190">
        <f>G47+G31</f>
        <v/>
      </c>
      <c r="H48" s="362" t="n"/>
      <c r="I48" s="190" t="n"/>
      <c r="J48" s="190">
        <f>J47+J31</f>
        <v/>
      </c>
    </row>
    <row r="49" ht="34.5" customFormat="1" customHeight="1" s="274">
      <c r="A49" s="351" t="n"/>
      <c r="B49" s="351" t="n"/>
      <c r="C49" s="359" t="inlineStr">
        <is>
          <t>ИТОГО ПОКАЗАТЕЛЬ НА ЕД. ИЗМ.</t>
        </is>
      </c>
      <c r="D49" s="351" t="inlineStr">
        <is>
          <t>1 км</t>
        </is>
      </c>
      <c r="E49" s="432" t="n">
        <v>1</v>
      </c>
      <c r="F49" s="361" t="n"/>
      <c r="G49" s="190">
        <f>G48/E49</f>
        <v/>
      </c>
      <c r="H49" s="362" t="n"/>
      <c r="I49" s="190" t="n"/>
      <c r="J49" s="190">
        <f>J48/E49</f>
        <v/>
      </c>
    </row>
    <row r="51" ht="14.25" customFormat="1" customHeight="1" s="274">
      <c r="A51" s="273" t="inlineStr">
        <is>
          <t>Составил ______________________    А.Р. Маркова</t>
        </is>
      </c>
    </row>
    <row r="52" ht="14.25" customFormat="1" customHeight="1" s="274">
      <c r="A52" s="276" t="inlineStr">
        <is>
          <t xml:space="preserve">                         (подпись, инициалы, фамилия)</t>
        </is>
      </c>
    </row>
    <row r="53" ht="14.25" customFormat="1" customHeight="1" s="274">
      <c r="A53" s="273" t="n"/>
    </row>
    <row r="54" ht="14.25" customFormat="1" customHeight="1" s="274">
      <c r="A54" s="273" t="inlineStr">
        <is>
          <t>Проверил ______________________        А.В. Костянецкая</t>
        </is>
      </c>
    </row>
    <row r="55" ht="14.25" customFormat="1" customHeight="1" s="274">
      <c r="A55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3" sqref="E23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7" t="inlineStr">
        <is>
          <t>Приложение №6</t>
        </is>
      </c>
    </row>
    <row r="2" ht="21.75" customHeight="1" s="294">
      <c r="A2" s="367" t="n"/>
      <c r="B2" s="367" t="n"/>
      <c r="C2" s="367" t="n"/>
      <c r="D2" s="367" t="n"/>
      <c r="E2" s="367" t="n"/>
      <c r="F2" s="367" t="n"/>
      <c r="G2" s="367" t="n"/>
    </row>
    <row r="3">
      <c r="A3" s="316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КЛ 35 кВ (с алюминиевой жилой) сечение жилы 400 мм2</t>
        </is>
      </c>
    </row>
    <row r="5">
      <c r="A5" s="273" t="n"/>
      <c r="B5" s="273" t="n"/>
      <c r="C5" s="273" t="n"/>
      <c r="D5" s="273" t="n"/>
      <c r="E5" s="273" t="n"/>
      <c r="F5" s="273" t="n"/>
      <c r="G5" s="273" t="n"/>
    </row>
    <row r="6" ht="30.15" customHeight="1" s="294">
      <c r="A6" s="351" t="inlineStr">
        <is>
          <t>№ пп.</t>
        </is>
      </c>
      <c r="B6" s="351" t="inlineStr">
        <is>
          <t>Код ресурса</t>
        </is>
      </c>
      <c r="C6" s="351" t="inlineStr">
        <is>
          <t>Наименование</t>
        </is>
      </c>
      <c r="D6" s="351" t="inlineStr">
        <is>
          <t>Ед. изм.</t>
        </is>
      </c>
      <c r="E6" s="351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4">
      <c r="A9" s="214" t="n"/>
      <c r="B9" s="359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51" t="n"/>
      <c r="B10" s="358" t="n"/>
      <c r="C10" s="359" t="inlineStr">
        <is>
          <t>ИТОГО ИНЖЕНЕРНОЕ ОБОРУДОВАНИЕ</t>
        </is>
      </c>
      <c r="D10" s="358" t="n"/>
      <c r="E10" s="142" t="n"/>
      <c r="F10" s="361" t="n"/>
      <c r="G10" s="361" t="n">
        <v>0</v>
      </c>
    </row>
    <row r="11">
      <c r="A11" s="351" t="n"/>
      <c r="B11" s="359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51" t="n"/>
      <c r="B12" s="359" t="n"/>
      <c r="C12" s="359" t="inlineStr">
        <is>
          <t>ИТОГО ТЕХНОЛОГИЧЕСКОЕ ОБОРУДОВАНИЕ</t>
        </is>
      </c>
      <c r="D12" s="359" t="n"/>
      <c r="E12" s="372" t="n"/>
      <c r="F12" s="361" t="n"/>
      <c r="G12" s="190" t="n">
        <v>0</v>
      </c>
    </row>
    <row r="13" ht="19.5" customHeight="1" s="294">
      <c r="A13" s="351" t="n"/>
      <c r="B13" s="359" t="n"/>
      <c r="C13" s="359" t="inlineStr">
        <is>
          <t>Всего по разделу «Оборудование»</t>
        </is>
      </c>
      <c r="D13" s="359" t="n"/>
      <c r="E13" s="372" t="n"/>
      <c r="F13" s="361" t="n"/>
      <c r="G13" s="190">
        <f>G10+G12</f>
        <v/>
      </c>
    </row>
    <row r="14">
      <c r="A14" s="275" t="n"/>
      <c r="B14" s="145" t="n"/>
      <c r="C14" s="275" t="n"/>
      <c r="D14" s="275" t="n"/>
      <c r="E14" s="275" t="n"/>
      <c r="F14" s="275" t="n"/>
      <c r="G14" s="275" t="n"/>
    </row>
    <row r="15">
      <c r="A15" s="273" t="inlineStr">
        <is>
          <t>Составил ______________________    А.Р. Маркова</t>
        </is>
      </c>
      <c r="B15" s="274" t="n"/>
      <c r="C15" s="274" t="n"/>
      <c r="D15" s="275" t="n"/>
      <c r="E15" s="275" t="n"/>
      <c r="F15" s="275" t="n"/>
      <c r="G15" s="275" t="n"/>
    </row>
    <row r="16">
      <c r="A16" s="276" t="inlineStr">
        <is>
          <t xml:space="preserve">                         (подпись, инициалы, фамилия)</t>
        </is>
      </c>
      <c r="B16" s="274" t="n"/>
      <c r="C16" s="274" t="n"/>
      <c r="D16" s="275" t="n"/>
      <c r="E16" s="275" t="n"/>
      <c r="F16" s="275" t="n"/>
      <c r="G16" s="275" t="n"/>
    </row>
    <row r="17">
      <c r="A17" s="273" t="n"/>
      <c r="B17" s="274" t="n"/>
      <c r="C17" s="274" t="n"/>
      <c r="D17" s="275" t="n"/>
      <c r="E17" s="275" t="n"/>
      <c r="F17" s="275" t="n"/>
      <c r="G17" s="275" t="n"/>
    </row>
    <row r="18">
      <c r="A18" s="273" t="inlineStr">
        <is>
          <t>Проверил ______________________        А.В. Костянецкая</t>
        </is>
      </c>
      <c r="B18" s="274" t="n"/>
      <c r="C18" s="274" t="n"/>
      <c r="D18" s="275" t="n"/>
      <c r="E18" s="275" t="n"/>
      <c r="F18" s="275" t="n"/>
      <c r="G18" s="275" t="n"/>
    </row>
    <row r="19">
      <c r="A19" s="276" t="inlineStr">
        <is>
          <t xml:space="preserve">                        (подпись, инициалы, фамилия)</t>
        </is>
      </c>
      <c r="B19" s="274" t="n"/>
      <c r="C19" s="274" t="n"/>
      <c r="D19" s="275" t="n"/>
      <c r="E19" s="275" t="n"/>
      <c r="F19" s="275" t="n"/>
      <c r="G19" s="2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3" sqref="E23"/>
    </sheetView>
  </sheetViews>
  <sheetFormatPr baseColWidth="8" defaultRowHeight="14.4"/>
  <cols>
    <col width="12.6640625" customWidth="1" style="294" min="1" max="1"/>
    <col width="22.44140625" customWidth="1" style="294" min="2" max="2"/>
    <col width="37.109375" customWidth="1" style="294" min="3" max="3"/>
    <col width="49" customWidth="1" style="294" min="4" max="4"/>
    <col width="9.109375" customWidth="1" style="294" min="5" max="5"/>
  </cols>
  <sheetData>
    <row r="1" ht="15.75" customHeight="1" s="294">
      <c r="A1" s="296" t="n"/>
      <c r="B1" s="296" t="n"/>
      <c r="C1" s="296" t="n"/>
      <c r="D1" s="296" t="inlineStr">
        <is>
          <t>Приложение №7</t>
        </is>
      </c>
    </row>
    <row r="2" ht="15.75" customHeight="1" s="294">
      <c r="A2" s="296" t="n"/>
      <c r="B2" s="296" t="n"/>
      <c r="C2" s="296" t="n"/>
      <c r="D2" s="296" t="n"/>
    </row>
    <row r="3" ht="15.75" customHeight="1" s="294">
      <c r="A3" s="296" t="n"/>
      <c r="B3" s="268" t="inlineStr">
        <is>
          <t>Расчет показателя УНЦ</t>
        </is>
      </c>
      <c r="C3" s="296" t="n"/>
      <c r="D3" s="296" t="n"/>
    </row>
    <row r="4" ht="15.75" customHeight="1" s="294">
      <c r="A4" s="296" t="n"/>
      <c r="B4" s="296" t="n"/>
      <c r="C4" s="296" t="n"/>
      <c r="D4" s="296" t="n"/>
    </row>
    <row r="5" ht="31.5" customHeight="1" s="294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294">
      <c r="A6" s="296" t="inlineStr">
        <is>
          <t>Единица измерения  — 1 км</t>
        </is>
      </c>
      <c r="B6" s="296" t="n"/>
      <c r="C6" s="296" t="n"/>
      <c r="D6" s="296" t="n"/>
    </row>
    <row r="7" ht="15.75" customHeight="1" s="294">
      <c r="A7" s="296" t="n"/>
      <c r="B7" s="296" t="n"/>
      <c r="C7" s="296" t="n"/>
      <c r="D7" s="296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23" t="n"/>
      <c r="B9" s="423" t="n"/>
      <c r="C9" s="423" t="n"/>
      <c r="D9" s="423" t="n"/>
    </row>
    <row r="10" ht="15.75" customHeight="1" s="294">
      <c r="A10" s="343" t="n">
        <v>1</v>
      </c>
      <c r="B10" s="343" t="n">
        <v>2</v>
      </c>
      <c r="C10" s="343" t="n">
        <v>3</v>
      </c>
      <c r="D10" s="343" t="n">
        <v>4</v>
      </c>
    </row>
    <row r="11" ht="47.25" customHeight="1" s="294">
      <c r="A11" s="343" t="inlineStr">
        <is>
          <t>К1-10-4</t>
        </is>
      </c>
      <c r="B11" s="343" t="inlineStr">
        <is>
          <t>УНЦ КЛ 6-500 кВ (с алюминиевой жилой)</t>
        </is>
      </c>
      <c r="C11" s="291">
        <f>D5</f>
        <v/>
      </c>
      <c r="D11" s="302">
        <f>'Прил.4 РМ'!C41/1000</f>
        <v/>
      </c>
    </row>
    <row r="13">
      <c r="A13" s="273" t="inlineStr">
        <is>
          <t>Составил ______________________     А.Р. Маркова</t>
        </is>
      </c>
      <c r="B13" s="274" t="n"/>
      <c r="C13" s="274" t="n"/>
      <c r="D13" s="275" t="n"/>
    </row>
    <row r="14">
      <c r="A14" s="276" t="inlineStr">
        <is>
          <t xml:space="preserve">                         (подпись, инициалы, фамилия)</t>
        </is>
      </c>
      <c r="B14" s="274" t="n"/>
      <c r="C14" s="274" t="n"/>
      <c r="D14" s="275" t="n"/>
    </row>
    <row r="15">
      <c r="A15" s="273" t="n"/>
      <c r="B15" s="274" t="n"/>
      <c r="C15" s="274" t="n"/>
      <c r="D15" s="275" t="n"/>
    </row>
    <row r="16">
      <c r="A16" s="273" t="inlineStr">
        <is>
          <t>Проверил ______________________        А.В. Костянецкая</t>
        </is>
      </c>
      <c r="B16" s="274" t="n"/>
      <c r="C16" s="274" t="n"/>
      <c r="D16" s="275" t="n"/>
    </row>
    <row r="17" ht="20.25" customHeight="1" s="294">
      <c r="A17" s="276" t="inlineStr">
        <is>
          <t xml:space="preserve">                        (подпись, инициалы, фамилия)</t>
        </is>
      </c>
      <c r="B17" s="274" t="n"/>
      <c r="C17" s="274" t="n"/>
      <c r="D17" s="27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E23" sqref="E23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3320312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294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294">
      <c r="B10" s="343" t="n">
        <v>1</v>
      </c>
      <c r="C10" s="343" t="n">
        <v>2</v>
      </c>
      <c r="D10" s="343" t="n">
        <v>3</v>
      </c>
    </row>
    <row r="11" ht="31.5" customHeight="1" s="294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31.5" customHeight="1" s="294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10.77</v>
      </c>
    </row>
    <row r="13" ht="31.5" customHeight="1" s="294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4.39</v>
      </c>
    </row>
    <row r="14" ht="31.5" customHeight="1" s="294">
      <c r="B14" s="343" t="inlineStr">
        <is>
          <t>Индекс изменения сметной стоимости на 1 квартал 2023 года. ОБ</t>
        </is>
      </c>
      <c r="C14" s="343" t="inlineStr">
        <is>
          <t>Письмо Минстроя России от 23.02.2023г. №9791-ИФ/09 прил.6</t>
        </is>
      </c>
      <c r="D14" s="343" t="n">
        <v>6.26</v>
      </c>
    </row>
    <row r="15" ht="89.40000000000001" customHeight="1" s="294">
      <c r="B15" s="343" t="inlineStr">
        <is>
          <t>Временные здания и сооружения</t>
        </is>
      </c>
      <c r="C15" s="3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4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3" t="inlineStr">
        <is>
          <t>Пусконаладочные работы*</t>
        </is>
      </c>
      <c r="C17" s="343" t="n"/>
      <c r="D17" s="169" t="inlineStr">
        <is>
          <t>Расчет</t>
        </is>
      </c>
    </row>
    <row r="18" ht="31.65" customHeight="1" s="294">
      <c r="B18" s="343" t="inlineStr">
        <is>
          <t>Строительный контроль</t>
        </is>
      </c>
      <c r="C18" s="343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3" t="inlineStr">
        <is>
          <t>Авторский надзор - 0,2%</t>
        </is>
      </c>
      <c r="C19" s="343" t="inlineStr">
        <is>
          <t>Приказ от 4.08.2020 № 421/пр п.173</t>
        </is>
      </c>
      <c r="D19" s="169" t="n">
        <v>0.002</v>
      </c>
    </row>
    <row r="20" ht="24" customHeight="1" s="294">
      <c r="B20" s="343" t="inlineStr">
        <is>
          <t>Непредвиденные расходы</t>
        </is>
      </c>
      <c r="C20" s="343" t="inlineStr">
        <is>
          <t>Приказ от 4.08.2020 № 421/пр п.179</t>
        </is>
      </c>
      <c r="D20" s="169" t="n">
        <v>0.03</v>
      </c>
    </row>
    <row r="21" ht="18.75" customHeight="1" s="294">
      <c r="B21" s="227" t="n"/>
    </row>
    <row r="22" ht="18.75" customHeight="1" s="294">
      <c r="B22" s="227" t="n"/>
    </row>
    <row r="23" ht="18.75" customHeight="1" s="294">
      <c r="B23" s="227" t="n"/>
    </row>
    <row r="24" ht="18.75" customHeight="1" s="294">
      <c r="B24" s="227" t="n"/>
    </row>
    <row r="27">
      <c r="B27" s="273" t="inlineStr">
        <is>
          <t>Составил ______________________        Е.А. Князева</t>
        </is>
      </c>
      <c r="C27" s="274" t="n"/>
    </row>
    <row r="28">
      <c r="B28" s="276" t="inlineStr">
        <is>
          <t xml:space="preserve">                         (подпись, инициалы, фамилия)</t>
        </is>
      </c>
      <c r="C28" s="274" t="n"/>
    </row>
    <row r="29">
      <c r="B29" s="273" t="n"/>
      <c r="C29" s="274" t="n"/>
    </row>
    <row r="30">
      <c r="B30" s="273" t="inlineStr">
        <is>
          <t>Проверил ______________________        А.В. Костянецкая</t>
        </is>
      </c>
      <c r="C30" s="274" t="n"/>
    </row>
    <row r="31">
      <c r="B31" s="276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3" sqref="E23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3" t="n"/>
      <c r="D10" s="343" t="n"/>
      <c r="E10" s="437" t="n">
        <v>3.8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38" t="n">
        <v>1.308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39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2025-01-24T12:03:41Z</dcterms:modified>
  <cp:lastModifiedBy>user1</cp:lastModifiedBy>
  <cp:lastPrinted>2023-11-26T13:34:00Z</cp:lastPrinted>
</cp:coreProperties>
</file>