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44140625" customWidth="1" style="327" min="5" max="5"/>
    <col width="9.109375" customWidth="1" style="32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5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8" t="n"/>
      <c r="C6" s="258" t="n"/>
      <c r="D6" s="258" t="n"/>
    </row>
    <row r="7" ht="64.5" customHeight="1" s="325">
      <c r="B7" s="359" t="inlineStr">
        <is>
          <t>Наименование разрабатываемого показателя УНЦ - КЛ 220 кВ (с алюминиевой жилой) сечение жилы 400 мм2</t>
        </is>
      </c>
    </row>
    <row r="8" ht="31.5" customHeight="1" s="325">
      <c r="B8" s="359" t="inlineStr">
        <is>
          <t>Сопоставимый уровень цен: 2 кв. 2018 г.</t>
        </is>
      </c>
    </row>
    <row r="9" ht="15.75" customHeight="1" s="325">
      <c r="B9" s="359" t="inlineStr">
        <is>
          <t>Единица измерения  — 1 км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116.25" customHeight="1" s="325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Кабель алюминиевый 220кВ 3х400</t>
        </is>
      </c>
    </row>
    <row r="17" ht="79.5" customHeight="1" s="325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7" t="n"/>
    </row>
    <row r="18">
      <c r="B18" s="233" t="inlineStr">
        <is>
          <t>6.1</t>
        </is>
      </c>
      <c r="C18" s="339" t="inlineStr">
        <is>
          <t>строительно-монтажные работы</t>
        </is>
      </c>
      <c r="D18" s="323">
        <f>'Прил.2 Расч стоим'!G13</f>
        <v/>
      </c>
    </row>
    <row r="19" ht="15.75" customHeight="1" s="325">
      <c r="B19" s="233" t="inlineStr">
        <is>
          <t>6.2</t>
        </is>
      </c>
      <c r="C19" s="339" t="inlineStr">
        <is>
          <t>оборудование и инвентарь</t>
        </is>
      </c>
      <c r="D19" s="323" t="n">
        <v>0</v>
      </c>
    </row>
    <row r="20" ht="16.5" customHeight="1" s="325">
      <c r="B20" s="233" t="inlineStr">
        <is>
          <t>6.3</t>
        </is>
      </c>
      <c r="C20" s="339" t="inlineStr">
        <is>
          <t>пусконаладочные работы</t>
        </is>
      </c>
      <c r="D20" s="323" t="n">
        <v>0</v>
      </c>
    </row>
    <row r="21" ht="35.25" customHeight="1" s="325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123" customHeight="1" s="325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7" t="n"/>
    </row>
    <row r="24" ht="60.75" customHeight="1" s="325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 ht="48" customHeight="1" s="325">
      <c r="B25" s="362" t="n">
        <v>10</v>
      </c>
      <c r="C25" s="339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5">
      <c r="B27" s="226" t="n"/>
    </row>
    <row r="28">
      <c r="B28" s="32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E21" sqref="E21"/>
    </sheetView>
  </sheetViews>
  <sheetFormatPr baseColWidth="8" defaultColWidth="9.109375" defaultRowHeight="15.6"/>
  <cols>
    <col width="5.554687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554687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57" t="inlineStr">
        <is>
          <t>Приложение № 2</t>
        </is>
      </c>
      <c r="K3" s="226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5">
      <c r="B8" s="259" t="n"/>
    </row>
    <row r="9" ht="15.75" customHeight="1" s="325">
      <c r="A9" s="32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7" t="n"/>
      <c r="L9" s="327" t="n"/>
    </row>
    <row r="10" ht="15.75" customHeight="1" s="325">
      <c r="A10" s="327" t="n"/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7" t="n"/>
      <c r="L10" s="327" t="n"/>
    </row>
    <row r="11" ht="31.5" customHeight="1" s="325">
      <c r="A11" s="327" t="n"/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7" t="n"/>
      <c r="L11" s="327" t="n"/>
    </row>
    <row r="12" ht="60" customHeight="1" s="325">
      <c r="A12" s="327" t="n"/>
      <c r="B12" s="328" t="n">
        <v>1</v>
      </c>
      <c r="C12" s="344">
        <f>'Прил.1 Сравнит табл'!D16</f>
        <v/>
      </c>
      <c r="D12" s="314" t="inlineStr">
        <is>
          <t>02-08-01</t>
        </is>
      </c>
      <c r="E12" s="339" t="inlineStr">
        <is>
          <t>Заходы КЛ 220 кВ</t>
        </is>
      </c>
      <c r="F12" s="316" t="n"/>
      <c r="G12" s="316">
        <f>21551373.882/1000</f>
        <v/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5">
      <c r="A13" s="327" t="n"/>
      <c r="B13" s="361" t="inlineStr">
        <is>
          <t>Всего по объекту:</t>
        </is>
      </c>
      <c r="C13" s="440" t="n"/>
      <c r="D13" s="440" t="n"/>
      <c r="E13" s="441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18" t="n"/>
      <c r="L13" s="318" t="n"/>
    </row>
    <row r="14" ht="15.75" customHeight="1" s="325">
      <c r="A14" s="327" t="n"/>
      <c r="B14" s="361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20" t="n"/>
      <c r="G14" s="320">
        <f>G13</f>
        <v/>
      </c>
      <c r="H14" s="320" t="n"/>
      <c r="I14" s="320" t="n"/>
      <c r="J14" s="320">
        <f>SUM(F14:I14)</f>
        <v/>
      </c>
      <c r="K14" s="327" t="n"/>
      <c r="L14" s="318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04" t="inlineStr">
        <is>
          <t>Составил ______________________     А.Р. Маркова</t>
        </is>
      </c>
      <c r="D18" s="305" t="n"/>
      <c r="E18" s="305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04" t="n"/>
      <c r="D20" s="305" t="n"/>
      <c r="E20" s="305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04" t="inlineStr">
        <is>
          <t>Проверил ______________________        А.В. Костянецкая</t>
        </is>
      </c>
      <c r="D21" s="305" t="n"/>
      <c r="E21" s="305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/>
    <row r="27" ht="15" customHeight="1" s="325"/>
    <row r="28" ht="15" customHeight="1" s="325"/>
    <row r="29" ht="15" customHeight="1" s="325"/>
    <row r="30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workbookViewId="0">
      <selection activeCell="D31" sqref="D31"/>
    </sheetView>
  </sheetViews>
  <sheetFormatPr baseColWidth="8" defaultColWidth="9.109375" defaultRowHeight="15.6"/>
  <cols>
    <col width="9.109375" customWidth="1" style="327" min="1" max="1"/>
    <col width="12.5546875" customWidth="1" style="327" min="2" max="2"/>
    <col width="22.441406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25">
      <c r="A4" s="267" t="n"/>
      <c r="B4" s="267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9" t="n"/>
    </row>
    <row r="6">
      <c r="A6" s="367" t="inlineStr">
        <is>
          <t>Наименование разрабатываемого показателя УНЦ -  КЛ 220 кВ (с алюминиевой жилой) сечение жилы 400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25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1" t="n"/>
    </row>
    <row r="9" ht="40.5" customHeight="1" s="325">
      <c r="A9" s="443" t="n"/>
      <c r="B9" s="443" t="n"/>
      <c r="C9" s="443" t="n"/>
      <c r="D9" s="443" t="n"/>
      <c r="E9" s="443" t="n"/>
      <c r="F9" s="443" t="n"/>
      <c r="G9" s="362" t="inlineStr">
        <is>
          <t>на ед.изм.</t>
        </is>
      </c>
      <c r="H9" s="362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298">
      <c r="A11" s="364" t="inlineStr">
        <is>
          <t>Затраты труда рабочих</t>
        </is>
      </c>
      <c r="B11" s="440" t="n"/>
      <c r="C11" s="440" t="n"/>
      <c r="D11" s="440" t="n"/>
      <c r="E11" s="441" t="n"/>
      <c r="F11" s="444">
        <f>SUM(F12:F12)</f>
        <v/>
      </c>
      <c r="G11" s="264" t="n"/>
      <c r="H11" s="445">
        <f>SUM(H12:H12)</f>
        <v/>
      </c>
    </row>
    <row r="12">
      <c r="A12" s="394" t="n">
        <v>1</v>
      </c>
      <c r="B12" s="241" t="n"/>
      <c r="C12" s="271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4" t="inlineStr">
        <is>
          <t>чел.-ч</t>
        </is>
      </c>
      <c r="F12" s="373" t="n">
        <v>1028.5</v>
      </c>
      <c r="G12" s="446" t="n">
        <v>9.619999999999999</v>
      </c>
      <c r="H12" s="286">
        <f>ROUND(F12*G12,2)</f>
        <v/>
      </c>
      <c r="M12" s="447" t="n"/>
    </row>
    <row r="13">
      <c r="A13" s="363" t="inlineStr">
        <is>
          <t>Затраты труда машинистов</t>
        </is>
      </c>
      <c r="B13" s="440" t="n"/>
      <c r="C13" s="440" t="n"/>
      <c r="D13" s="440" t="n"/>
      <c r="E13" s="441" t="n"/>
      <c r="F13" s="364" t="n"/>
      <c r="G13" s="239" t="n"/>
      <c r="H13" s="445">
        <f>H14</f>
        <v/>
      </c>
    </row>
    <row r="14">
      <c r="A14" s="394" t="n">
        <v>2</v>
      </c>
      <c r="B14" s="365" t="n"/>
      <c r="C14" s="274" t="n">
        <v>2</v>
      </c>
      <c r="D14" s="275" t="inlineStr">
        <is>
          <t>Затраты труда машинистов</t>
        </is>
      </c>
      <c r="E14" s="394" t="inlineStr">
        <is>
          <t>чел.-ч</t>
        </is>
      </c>
      <c r="F14" s="394" t="n">
        <v>75.5</v>
      </c>
      <c r="G14" s="260" t="n"/>
      <c r="H14" s="448" t="n">
        <v>887.7</v>
      </c>
    </row>
    <row r="15" customFormat="1" s="298">
      <c r="A15" s="364" t="inlineStr">
        <is>
          <t>Машины и механизмы</t>
        </is>
      </c>
      <c r="B15" s="440" t="n"/>
      <c r="C15" s="440" t="n"/>
      <c r="D15" s="440" t="n"/>
      <c r="E15" s="441" t="n"/>
      <c r="F15" s="364" t="n"/>
      <c r="G15" s="239" t="n"/>
      <c r="H15" s="445">
        <f>SUM(H16:H25)</f>
        <v/>
      </c>
    </row>
    <row r="16" ht="25.5" customHeight="1" s="325">
      <c r="A16" s="394" t="n">
        <v>3</v>
      </c>
      <c r="B16" s="365" t="n"/>
      <c r="C16" s="274" t="inlineStr">
        <is>
          <t>91.05.05-018</t>
        </is>
      </c>
      <c r="D16" s="275" t="inlineStr">
        <is>
          <t>Краны на автомобильном ходу, грузоподъемность 63 т</t>
        </is>
      </c>
      <c r="E16" s="394" t="inlineStr">
        <is>
          <t>маш.час</t>
        </is>
      </c>
      <c r="F16" s="394" t="n">
        <v>14.5</v>
      </c>
      <c r="G16" s="277" t="n">
        <v>823.23</v>
      </c>
      <c r="H16" s="286">
        <f>ROUND(F16*G16,2)</f>
        <v/>
      </c>
      <c r="I16" s="291" t="n"/>
      <c r="J16" s="291" t="n"/>
      <c r="L16" s="291" t="n"/>
    </row>
    <row r="17" ht="25.5" customFormat="1" customHeight="1" s="298">
      <c r="A17" s="394" t="n">
        <v>4</v>
      </c>
      <c r="B17" s="365" t="n"/>
      <c r="C17" s="274" t="inlineStr">
        <is>
          <t>91.06.03-012</t>
        </is>
      </c>
      <c r="D17" s="275" t="inlineStr">
        <is>
          <t>Лебедки-прицепы гидравлические для протяжки кабеля, тяговое усилие 10 т</t>
        </is>
      </c>
      <c r="E17" s="394" t="inlineStr">
        <is>
          <t>маш.час</t>
        </is>
      </c>
      <c r="F17" s="394" t="n">
        <v>25</v>
      </c>
      <c r="G17" s="277" t="n">
        <v>244.95</v>
      </c>
      <c r="H17" s="286">
        <f>ROUND(F17*G17,2)</f>
        <v/>
      </c>
      <c r="I17" s="291" t="n"/>
      <c r="J17" s="291" t="n"/>
      <c r="K17" s="292" t="n"/>
      <c r="L17" s="291" t="n"/>
    </row>
    <row r="18">
      <c r="A18" s="394" t="n">
        <v>5</v>
      </c>
      <c r="B18" s="365" t="n"/>
      <c r="C18" s="274" t="inlineStr">
        <is>
          <t>91.14.04-003</t>
        </is>
      </c>
      <c r="D18" s="275" t="inlineStr">
        <is>
          <t>Тягачи седельные, грузоподъемность 30 т</t>
        </is>
      </c>
      <c r="E18" s="394" t="inlineStr">
        <is>
          <t>маш.час</t>
        </is>
      </c>
      <c r="F18" s="394" t="n">
        <v>12</v>
      </c>
      <c r="G18" s="277" t="n">
        <v>120.31</v>
      </c>
      <c r="H18" s="286">
        <f>ROUND(F18*G18,2)</f>
        <v/>
      </c>
      <c r="I18" s="291" t="n"/>
      <c r="J18" s="291" t="n"/>
      <c r="L18" s="291" t="n"/>
    </row>
    <row r="19" ht="25.5" customHeight="1" s="325">
      <c r="A19" s="394" t="n">
        <v>6</v>
      </c>
      <c r="B19" s="365" t="n"/>
      <c r="C19" s="274" t="inlineStr">
        <is>
          <t>91.05.13-001</t>
        </is>
      </c>
      <c r="D19" s="275" t="inlineStr">
        <is>
          <t>Автомобили бортовые, грузоподъемность до 6 т, с краном-манипулятором-4,0 т</t>
        </is>
      </c>
      <c r="E19" s="394" t="inlineStr">
        <is>
          <t>маш.час</t>
        </is>
      </c>
      <c r="F19" s="394" t="n">
        <v>1.5</v>
      </c>
      <c r="G19" s="277" t="n">
        <v>288.03</v>
      </c>
      <c r="H19" s="286">
        <f>ROUND(F19*G19,2)</f>
        <v/>
      </c>
      <c r="I19" s="291" t="n"/>
      <c r="J19" s="291" t="n"/>
      <c r="L19" s="291" t="n"/>
    </row>
    <row r="20" ht="25.5" customHeight="1" s="325">
      <c r="A20" s="394" t="n">
        <v>7</v>
      </c>
      <c r="B20" s="365" t="n"/>
      <c r="C20" s="274" t="inlineStr">
        <is>
          <t>91.11.01-021</t>
        </is>
      </c>
      <c r="D20" s="275" t="inlineStr">
        <is>
          <t>Устройства подталкивающие для протяжки кабеля, тяговое усилие 800 кг</t>
        </is>
      </c>
      <c r="E20" s="394" t="inlineStr">
        <is>
          <t>маш.час</t>
        </is>
      </c>
      <c r="F20" s="394" t="n">
        <v>16.8</v>
      </c>
      <c r="G20" s="277" t="n">
        <v>25.37</v>
      </c>
      <c r="H20" s="286">
        <f>ROUND(F20*G20,2)</f>
        <v/>
      </c>
      <c r="I20" s="291" t="n"/>
      <c r="J20" s="291" t="n"/>
      <c r="L20" s="291" t="n"/>
    </row>
    <row r="21">
      <c r="A21" s="394" t="n">
        <v>8</v>
      </c>
      <c r="B21" s="365" t="n"/>
      <c r="C21" s="274" t="inlineStr">
        <is>
          <t>91.14.05-002</t>
        </is>
      </c>
      <c r="D21" s="275" t="inlineStr">
        <is>
          <t>Полуприцепы-тяжеловозы, грузоподъемность 40 т</t>
        </is>
      </c>
      <c r="E21" s="394" t="inlineStr">
        <is>
          <t>маш.час</t>
        </is>
      </c>
      <c r="F21" s="394" t="n">
        <v>12</v>
      </c>
      <c r="G21" s="277" t="n">
        <v>28.65</v>
      </c>
      <c r="H21" s="286">
        <f>ROUND(F21*G21,2)</f>
        <v/>
      </c>
      <c r="I21" s="291" t="n"/>
      <c r="J21" s="291" t="n"/>
      <c r="L21" s="291" t="n"/>
    </row>
    <row r="22">
      <c r="A22" s="394" t="n">
        <v>9</v>
      </c>
      <c r="B22" s="365" t="n"/>
      <c r="C22" s="274" t="inlineStr">
        <is>
          <t>91.16.01-002</t>
        </is>
      </c>
      <c r="D22" s="275" t="inlineStr">
        <is>
          <t>Электростанции передвижные, мощность 4 кВт</t>
        </is>
      </c>
      <c r="E22" s="394" t="inlineStr">
        <is>
          <t>маш.час</t>
        </is>
      </c>
      <c r="F22" s="394" t="n">
        <v>8</v>
      </c>
      <c r="G22" s="277" t="n">
        <v>27.11</v>
      </c>
      <c r="H22" s="286">
        <f>ROUND(F22*G22,2)</f>
        <v/>
      </c>
      <c r="I22" s="291" t="n"/>
      <c r="J22" s="291" t="n"/>
    </row>
    <row r="23">
      <c r="A23" s="394" t="n">
        <v>10</v>
      </c>
      <c r="B23" s="365" t="n"/>
      <c r="C23" s="274" t="inlineStr">
        <is>
          <t>91.17.04-091</t>
        </is>
      </c>
      <c r="D23" s="275" t="inlineStr">
        <is>
          <t>Горелки газовые инжекторные</t>
        </is>
      </c>
      <c r="E23" s="394" t="inlineStr">
        <is>
          <t>маш.час</t>
        </is>
      </c>
      <c r="F23" s="394" t="n">
        <v>8</v>
      </c>
      <c r="G23" s="277" t="n">
        <v>13.5</v>
      </c>
      <c r="H23" s="286">
        <f>ROUND(F23*G23,2)</f>
        <v/>
      </c>
      <c r="J23" s="291" t="n"/>
    </row>
    <row r="24">
      <c r="A24" s="394" t="n">
        <v>11</v>
      </c>
      <c r="B24" s="365" t="n"/>
      <c r="C24" s="274" t="inlineStr">
        <is>
          <t>91.21.15-022</t>
        </is>
      </c>
      <c r="D24" s="275" t="inlineStr">
        <is>
          <t>Пилы ленточные с поворотной пилорамой</t>
        </is>
      </c>
      <c r="E24" s="394" t="inlineStr">
        <is>
          <t>маш.час</t>
        </is>
      </c>
      <c r="F24" s="394" t="n">
        <v>8</v>
      </c>
      <c r="G24" s="277" t="n">
        <v>3.31</v>
      </c>
      <c r="H24" s="286">
        <f>ROUND(F24*G24,2)</f>
        <v/>
      </c>
      <c r="J24" s="291" t="n"/>
    </row>
    <row r="25">
      <c r="A25" s="394" t="n">
        <v>12</v>
      </c>
      <c r="B25" s="365" t="n"/>
      <c r="C25" s="274" t="inlineStr">
        <is>
          <t>91.06.01-002</t>
        </is>
      </c>
      <c r="D25" s="275" t="inlineStr">
        <is>
          <t>Домкраты гидравлические, грузоподъемность 6,3-25 т</t>
        </is>
      </c>
      <c r="E25" s="394" t="inlineStr">
        <is>
          <t>маш.час</t>
        </is>
      </c>
      <c r="F25" s="394" t="n">
        <v>40.8</v>
      </c>
      <c r="G25" s="277" t="n">
        <v>0.48</v>
      </c>
      <c r="H25" s="286">
        <f>ROUND(F25*G25,2)</f>
        <v/>
      </c>
      <c r="J25" s="291" t="n"/>
    </row>
    <row r="26">
      <c r="A26" s="364" t="inlineStr">
        <is>
          <t>Материалы</t>
        </is>
      </c>
      <c r="B26" s="440" t="n"/>
      <c r="C26" s="440" t="n"/>
      <c r="D26" s="440" t="n"/>
      <c r="E26" s="441" t="n"/>
      <c r="F26" s="364" t="n"/>
      <c r="G26" s="239" t="n"/>
      <c r="H26" s="445">
        <f>SUM(H27:H28)</f>
        <v/>
      </c>
    </row>
    <row r="27">
      <c r="A27" s="284" t="n">
        <v>13</v>
      </c>
      <c r="B27" s="284" t="n"/>
      <c r="C27" s="394" t="inlineStr">
        <is>
          <t>Прайс из СД ОП</t>
        </is>
      </c>
      <c r="D27" s="281" t="inlineStr">
        <is>
          <t>Кабель алюминиевый 220кВ 3х400</t>
        </is>
      </c>
      <c r="E27" s="394" t="inlineStr">
        <is>
          <t>км</t>
        </is>
      </c>
      <c r="F27" s="394" t="n">
        <v>3.3</v>
      </c>
      <c r="G27" s="281" t="n">
        <v>1169169.34</v>
      </c>
      <c r="H27" s="286">
        <f>ROUND(F27*G27,2)</f>
        <v/>
      </c>
    </row>
    <row r="28">
      <c r="A28" s="284" t="n">
        <v>14</v>
      </c>
      <c r="B28" s="365" t="n"/>
      <c r="C28" s="274" t="inlineStr">
        <is>
          <t>01.3.02.09-0022</t>
        </is>
      </c>
      <c r="D28" s="275" t="inlineStr">
        <is>
          <t>Пропан-бутан смесь техническая</t>
        </is>
      </c>
      <c r="E28" s="394" t="inlineStr">
        <is>
          <t>кг</t>
        </is>
      </c>
      <c r="F28" s="394" t="n">
        <v>3.56</v>
      </c>
      <c r="G28" s="260" t="n">
        <v>6.09</v>
      </c>
      <c r="H28" s="286">
        <f>ROUND(F28*G28,2)</f>
        <v/>
      </c>
      <c r="I28" s="293" t="n"/>
      <c r="J28" s="291" t="n"/>
      <c r="K28" s="291" t="n"/>
    </row>
    <row r="29" ht="7.8" customHeight="1" s="325"/>
    <row r="30" hidden="1" s="325"/>
    <row r="31">
      <c r="B31" s="327" t="inlineStr">
        <is>
          <t>Составил ______________________     А.Р. Маркова</t>
        </is>
      </c>
    </row>
    <row r="32">
      <c r="B32" s="226" t="inlineStr">
        <is>
          <t xml:space="preserve">                         (подпись, инициалы, фамилия)</t>
        </is>
      </c>
    </row>
    <row r="33" ht="6" customHeight="1" s="325"/>
    <row r="34">
      <c r="B34" s="327" t="inlineStr">
        <is>
          <t>Проверил ______________________        А.В. Костянецкая</t>
        </is>
      </c>
    </row>
    <row r="35">
      <c r="B35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2" sqref="D42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44140625" customWidth="1" style="325" min="6" max="6"/>
    <col width="14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7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5">
      <c r="B7" s="356" t="inlineStr">
        <is>
          <t>Наименование разрабатываемого показателя УНЦ — КЛ 220 кВ (с алюминиевой жилой) сечение жилы 400 мм2</t>
        </is>
      </c>
    </row>
    <row r="8">
      <c r="B8" s="369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5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49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8" workbookViewId="0">
      <selection activeCell="E52" sqref="E52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0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7" t="inlineStr">
        <is>
          <t>Расчет стоимости СМР и оборудования</t>
        </is>
      </c>
    </row>
    <row r="5" ht="12.75" customFormat="1" customHeight="1" s="304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КЛ 220 кВ (с алюминиевой жилой) сечение жилы 400 мм2</t>
        </is>
      </c>
    </row>
    <row r="7" ht="12.75" customFormat="1" customHeight="1" s="304">
      <c r="A7" s="350" t="inlineStr">
        <is>
          <t>Единица измерения  — 1 км</t>
        </is>
      </c>
      <c r="I7" s="356" t="n"/>
      <c r="J7" s="356" t="n"/>
    </row>
    <row r="8" ht="13.5" customFormat="1" customHeight="1" s="304">
      <c r="A8" s="350" t="n"/>
    </row>
    <row r="9" ht="13.2" customFormat="1" customHeight="1" s="304"/>
    <row r="10" ht="27" customHeight="1" s="325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41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41" t="n"/>
      <c r="K10" s="305" t="n"/>
      <c r="L10" s="305" t="n"/>
      <c r="M10" s="305" t="n"/>
      <c r="N10" s="305" t="n"/>
    </row>
    <row r="11" ht="28.5" customHeight="1" s="325">
      <c r="A11" s="443" t="n"/>
      <c r="B11" s="443" t="n"/>
      <c r="C11" s="443" t="n"/>
      <c r="D11" s="443" t="n"/>
      <c r="E11" s="443" t="n"/>
      <c r="F11" s="373" t="inlineStr">
        <is>
          <t>на ед. изм.</t>
        </is>
      </c>
      <c r="G11" s="373" t="inlineStr">
        <is>
          <t>общая</t>
        </is>
      </c>
      <c r="H11" s="443" t="n"/>
      <c r="I11" s="373" t="inlineStr">
        <is>
          <t>на ед. изм.</t>
        </is>
      </c>
      <c r="J11" s="373" t="inlineStr">
        <is>
          <t>общая</t>
        </is>
      </c>
      <c r="K11" s="305" t="n"/>
      <c r="L11" s="305" t="n"/>
      <c r="M11" s="305" t="n"/>
      <c r="N11" s="305" t="n"/>
    </row>
    <row r="12" s="325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74" t="n">
        <v>9</v>
      </c>
      <c r="J12" s="374" t="n">
        <v>10</v>
      </c>
      <c r="K12" s="305" t="n"/>
      <c r="L12" s="305" t="n"/>
      <c r="M12" s="305" t="n"/>
      <c r="N12" s="305" t="n"/>
    </row>
    <row r="13">
      <c r="A13" s="373" t="n"/>
      <c r="B13" s="363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5">
      <c r="A14" s="373" t="n">
        <v>1</v>
      </c>
      <c r="B14" s="271" t="inlineStr">
        <is>
          <t>1-4-0</t>
        </is>
      </c>
      <c r="C14" s="381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5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3" t="n"/>
      <c r="B15" s="373" t="n"/>
      <c r="C15" s="363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0">
        <f>SUM(E14:E14)</f>
        <v/>
      </c>
      <c r="F15" s="207" t="n"/>
      <c r="G15" s="207">
        <f>SUM(G14:G14)</f>
        <v/>
      </c>
      <c r="H15" s="384" t="n">
        <v>1</v>
      </c>
      <c r="I15" s="200" t="n"/>
      <c r="J15" s="207">
        <f>SUM(J14:J14)</f>
        <v/>
      </c>
    </row>
    <row r="16" ht="14.25" customFormat="1" customHeight="1" s="305">
      <c r="A16" s="373" t="n"/>
      <c r="B16" s="381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5">
      <c r="A17" s="373" t="n">
        <v>2</v>
      </c>
      <c r="B17" s="373" t="n">
        <v>2</v>
      </c>
      <c r="C17" s="381" t="inlineStr">
        <is>
          <t>Затраты труда машинистов</t>
        </is>
      </c>
      <c r="D17" s="373" t="inlineStr">
        <is>
          <t>чел.-ч.</t>
        </is>
      </c>
      <c r="E17" s="450" t="n">
        <v>75.5</v>
      </c>
      <c r="F17" s="207">
        <f>G17/E17</f>
        <v/>
      </c>
      <c r="G17" s="207">
        <f>'Прил. 3'!H13</f>
        <v/>
      </c>
      <c r="H17" s="38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3" t="n"/>
      <c r="B18" s="363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5">
      <c r="A19" s="373" t="n"/>
      <c r="B19" s="381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5">
      <c r="A20" s="373" t="n">
        <v>3</v>
      </c>
      <c r="B20" s="274" t="inlineStr">
        <is>
          <t>91.05.05-018</t>
        </is>
      </c>
      <c r="C20" s="275" t="inlineStr">
        <is>
          <t>Краны на автомобильном ходу, грузоподъемность 63 т</t>
        </is>
      </c>
      <c r="D20" s="394" t="inlineStr">
        <is>
          <t>маш.час</t>
        </is>
      </c>
      <c r="E20" s="451" t="n">
        <v>14.5</v>
      </c>
      <c r="F20" s="277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73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94" t="inlineStr">
        <is>
          <t>маш.час</t>
        </is>
      </c>
      <c r="E21" s="451" t="n">
        <v>25</v>
      </c>
      <c r="F21" s="277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73" t="n"/>
      <c r="B22" s="373" t="n"/>
      <c r="C22" s="381" t="inlineStr">
        <is>
          <t>Итого основные машины и механизмы</t>
        </is>
      </c>
      <c r="D22" s="373" t="n"/>
      <c r="E22" s="450" t="n"/>
      <c r="F22" s="207" t="n"/>
      <c r="G22" s="207">
        <f>SUM(G20:G21)</f>
        <v/>
      </c>
      <c r="H22" s="384">
        <f>G22/G32</f>
        <v/>
      </c>
      <c r="I22" s="201" t="n"/>
      <c r="J22" s="207">
        <f>SUM(J20:J21)</f>
        <v/>
      </c>
    </row>
    <row r="23" outlineLevel="1" ht="14.25" customFormat="1" customHeight="1" s="305">
      <c r="A23" s="373" t="n">
        <v>5</v>
      </c>
      <c r="B23" s="274" t="inlineStr">
        <is>
          <t>91.14.04-003</t>
        </is>
      </c>
      <c r="C23" s="275" t="inlineStr">
        <is>
          <t>Тягачи седельные, грузоподъемность 30 т</t>
        </is>
      </c>
      <c r="D23" s="394" t="inlineStr">
        <is>
          <t>маш.час</t>
        </is>
      </c>
      <c r="E23" s="451" t="n">
        <v>12</v>
      </c>
      <c r="F23" s="277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05">
      <c r="A24" s="373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94" t="inlineStr">
        <is>
          <t>маш.час</t>
        </is>
      </c>
      <c r="E24" s="451" t="n">
        <v>1.5</v>
      </c>
      <c r="F24" s="277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05">
      <c r="A25" s="373" t="n">
        <v>7</v>
      </c>
      <c r="B25" s="274" t="inlineStr">
        <is>
          <t>91.11.01-021</t>
        </is>
      </c>
      <c r="C25" s="275" t="inlineStr">
        <is>
          <t>Устройства подталкивающие для протяжки кабеля, тяговое усилие 800 кг</t>
        </is>
      </c>
      <c r="D25" s="394" t="inlineStr">
        <is>
          <t>маш.час</t>
        </is>
      </c>
      <c r="E25" s="451" t="n">
        <v>16.8</v>
      </c>
      <c r="F25" s="277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outlineLevel="1" ht="25.5" customFormat="1" customHeight="1" s="305">
      <c r="A26" s="373" t="n">
        <v>8</v>
      </c>
      <c r="B26" s="274" t="inlineStr">
        <is>
          <t>91.14.05-002</t>
        </is>
      </c>
      <c r="C26" s="275" t="inlineStr">
        <is>
          <t>Полуприцепы-тяжеловозы, грузоподъемность 40 т</t>
        </is>
      </c>
      <c r="D26" s="394" t="inlineStr">
        <is>
          <t>маш.час</t>
        </is>
      </c>
      <c r="E26" s="451" t="n">
        <v>12</v>
      </c>
      <c r="F26" s="277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outlineLevel="1" ht="25.5" customFormat="1" customHeight="1" s="305">
      <c r="A27" s="373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94" t="inlineStr">
        <is>
          <t>маш.час</t>
        </is>
      </c>
      <c r="E27" s="451" t="n">
        <v>8</v>
      </c>
      <c r="F27" s="277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outlineLevel="1" ht="14.25" customFormat="1" customHeight="1" s="305">
      <c r="A28" s="373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94" t="inlineStr">
        <is>
          <t>маш.час</t>
        </is>
      </c>
      <c r="E28" s="451" t="n">
        <v>8</v>
      </c>
      <c r="F28" s="277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outlineLevel="1" ht="14.25" customFormat="1" customHeight="1" s="305">
      <c r="A29" s="373" t="n">
        <v>11</v>
      </c>
      <c r="B29" s="274" t="inlineStr">
        <is>
          <t>91.21.15-022</t>
        </is>
      </c>
      <c r="C29" s="275" t="inlineStr">
        <is>
          <t>Пилы ленточные с поворотной пилорамой</t>
        </is>
      </c>
      <c r="D29" s="394" t="inlineStr">
        <is>
          <t>маш.час</t>
        </is>
      </c>
      <c r="E29" s="451" t="n">
        <v>8</v>
      </c>
      <c r="F29" s="277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outlineLevel="1" ht="25.5" customFormat="1" customHeight="1" s="305">
      <c r="A30" s="373" t="n">
        <v>12</v>
      </c>
      <c r="B30" s="274" t="inlineStr">
        <is>
          <t>91.06.01-002</t>
        </is>
      </c>
      <c r="C30" s="275" t="inlineStr">
        <is>
          <t>Домкраты гидравлические, грузоподъемность 6,3-25 т</t>
        </is>
      </c>
      <c r="D30" s="394" t="inlineStr">
        <is>
          <t>маш.час</t>
        </is>
      </c>
      <c r="E30" s="451" t="n">
        <v>40.8</v>
      </c>
      <c r="F30" s="277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ht="14.25" customFormat="1" customHeight="1" s="305">
      <c r="A31" s="373" t="n"/>
      <c r="B31" s="373" t="n"/>
      <c r="C31" s="381" t="inlineStr">
        <is>
          <t>Итого прочие машины и механизмы</t>
        </is>
      </c>
      <c r="D31" s="373" t="n"/>
      <c r="E31" s="382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73" t="n"/>
      <c r="B32" s="373" t="n"/>
      <c r="C32" s="363" t="inlineStr">
        <is>
          <t>Итого по разделу «Машины и механизмы»</t>
        </is>
      </c>
      <c r="D32" s="373" t="n"/>
      <c r="E32" s="382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73" t="n"/>
      <c r="B33" s="363" t="inlineStr">
        <is>
          <t>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</row>
    <row r="34">
      <c r="A34" s="373" t="n"/>
      <c r="B34" s="381" t="inlineStr">
        <is>
          <t>Основное оборудование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  <c r="K34" s="305" t="n"/>
      <c r="L34" s="305" t="n"/>
    </row>
    <row r="35">
      <c r="A35" s="373" t="n"/>
      <c r="B35" s="373" t="n"/>
      <c r="C35" s="381" t="inlineStr">
        <is>
          <t>Итого основное оборудование</t>
        </is>
      </c>
      <c r="D35" s="373" t="n"/>
      <c r="E35" s="452" t="n"/>
      <c r="F35" s="383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3" t="n"/>
      <c r="B36" s="373" t="n"/>
      <c r="C36" s="381" t="inlineStr">
        <is>
          <t>Итого прочее оборудование</t>
        </is>
      </c>
      <c r="D36" s="373" t="n"/>
      <c r="E36" s="450" t="n"/>
      <c r="F36" s="383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73" t="n"/>
      <c r="B37" s="373" t="n"/>
      <c r="C37" s="363" t="inlineStr">
        <is>
          <t>Итого по разделу «Оборудование»</t>
        </is>
      </c>
      <c r="D37" s="373" t="n"/>
      <c r="E37" s="382" t="n"/>
      <c r="F37" s="383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5">
      <c r="A38" s="373" t="n"/>
      <c r="B38" s="373" t="n"/>
      <c r="C38" s="381" t="inlineStr">
        <is>
          <t>в том числе технологическое оборудование</t>
        </is>
      </c>
      <c r="D38" s="373" t="n"/>
      <c r="E38" s="452" t="n"/>
      <c r="F38" s="383" t="n"/>
      <c r="G38" s="207">
        <f>'Прил.6 Расчет ОБ'!G12</f>
        <v/>
      </c>
      <c r="H38" s="384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73" t="n"/>
      <c r="B39" s="363" t="inlineStr">
        <is>
          <t>Материалы</t>
        </is>
      </c>
      <c r="C39" s="440" t="n"/>
      <c r="D39" s="440" t="n"/>
      <c r="E39" s="440" t="n"/>
      <c r="F39" s="440" t="n"/>
      <c r="G39" s="440" t="n"/>
      <c r="H39" s="441" t="n"/>
      <c r="I39" s="200" t="n"/>
      <c r="J39" s="200" t="n"/>
    </row>
    <row r="40" ht="14.25" customFormat="1" customHeight="1" s="305">
      <c r="A40" s="374" t="n"/>
      <c r="B40" s="377" t="inlineStr">
        <is>
          <t>Основные материалы</t>
        </is>
      </c>
      <c r="C40" s="453" t="n"/>
      <c r="D40" s="453" t="n"/>
      <c r="E40" s="453" t="n"/>
      <c r="F40" s="453" t="n"/>
      <c r="G40" s="453" t="n"/>
      <c r="H40" s="454" t="n"/>
      <c r="I40" s="215" t="n"/>
      <c r="J40" s="215" t="n"/>
    </row>
    <row r="41" ht="14.25" customFormat="1" customHeight="1" s="305">
      <c r="A41" s="373" t="n">
        <v>13</v>
      </c>
      <c r="B41" s="373" t="inlineStr">
        <is>
          <t>БЦ.81.614</t>
        </is>
      </c>
      <c r="C41" s="275" t="inlineStr">
        <is>
          <t>Кабель алюминиевый 220кВ 3х400</t>
        </is>
      </c>
      <c r="D41" s="373" t="inlineStr">
        <is>
          <t>км</t>
        </is>
      </c>
      <c r="E41" s="452">
        <f>1*3.3</f>
        <v/>
      </c>
      <c r="F41" s="383">
        <f>ROUND(I41/'Прил. 10'!$D$13,2)</f>
        <v/>
      </c>
      <c r="G41" s="207">
        <f>ROUND(E41*F41,2)</f>
        <v/>
      </c>
      <c r="H41" s="209">
        <f>G41/$G$45</f>
        <v/>
      </c>
      <c r="I41" s="207" t="n">
        <v>6052657.33</v>
      </c>
      <c r="J41" s="207">
        <f>ROUND(I41*E41,2)</f>
        <v/>
      </c>
    </row>
    <row r="42" ht="14.25" customFormat="1" customHeight="1" s="305">
      <c r="A42" s="375" t="n"/>
      <c r="B42" s="217" t="n"/>
      <c r="C42" s="218" t="inlineStr">
        <is>
          <t>Итого основные материалы</t>
        </is>
      </c>
      <c r="D42" s="375" t="n"/>
      <c r="E42" s="455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outlineLevel="1" ht="14.25" customFormat="1" customHeight="1" s="305">
      <c r="A43" s="373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94" t="inlineStr">
        <is>
          <t>кг</t>
        </is>
      </c>
      <c r="E43" s="451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ht="14.25" customFormat="1" customHeight="1" s="305">
      <c r="A44" s="373" t="n"/>
      <c r="B44" s="373" t="n"/>
      <c r="C44" s="381" t="inlineStr">
        <is>
          <t>Итого прочие материалы</t>
        </is>
      </c>
      <c r="D44" s="373" t="n"/>
      <c r="E44" s="452" t="n"/>
      <c r="F44" s="383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73" t="n"/>
      <c r="B45" s="373" t="n"/>
      <c r="C45" s="363" t="inlineStr">
        <is>
          <t>Итого по разделу «Материалы»</t>
        </is>
      </c>
      <c r="D45" s="373" t="n"/>
      <c r="E45" s="382" t="n"/>
      <c r="F45" s="383" t="n"/>
      <c r="G45" s="207">
        <f>G42+G44</f>
        <v/>
      </c>
      <c r="H45" s="384">
        <f>G45/$G$45</f>
        <v/>
      </c>
      <c r="I45" s="207" t="n"/>
      <c r="J45" s="207">
        <f>J42+J44</f>
        <v/>
      </c>
    </row>
    <row r="46" ht="14.25" customFormat="1" customHeight="1" s="305">
      <c r="A46" s="373" t="n"/>
      <c r="B46" s="373" t="n"/>
      <c r="C46" s="381" t="inlineStr">
        <is>
          <t>ИТОГО ПО РМ</t>
        </is>
      </c>
      <c r="D46" s="373" t="n"/>
      <c r="E46" s="382" t="n"/>
      <c r="F46" s="383" t="n"/>
      <c r="G46" s="207">
        <f>G15+G32+G45</f>
        <v/>
      </c>
      <c r="H46" s="384" t="n"/>
      <c r="I46" s="207" t="n"/>
      <c r="J46" s="207">
        <f>J15+J32+J45</f>
        <v/>
      </c>
    </row>
    <row r="47" ht="14.25" customFormat="1" customHeight="1" s="305">
      <c r="A47" s="373" t="n"/>
      <c r="B47" s="373" t="n"/>
      <c r="C47" s="381" t="inlineStr">
        <is>
          <t>Накладные расходы</t>
        </is>
      </c>
      <c r="D47" s="203">
        <f>ROUND(G47/(G$17+$G$15),2)</f>
        <v/>
      </c>
      <c r="E47" s="382" t="n"/>
      <c r="F47" s="383" t="n"/>
      <c r="G47" s="207" t="n">
        <v>10458.44</v>
      </c>
      <c r="H47" s="384" t="n"/>
      <c r="I47" s="207" t="n"/>
      <c r="J47" s="207">
        <f>ROUND(D47*(J15+J17),2)</f>
        <v/>
      </c>
    </row>
    <row r="48" ht="14.25" customFormat="1" customHeight="1" s="305">
      <c r="A48" s="373" t="n"/>
      <c r="B48" s="373" t="n"/>
      <c r="C48" s="381" t="inlineStr">
        <is>
          <t>Сметная прибыль</t>
        </is>
      </c>
      <c r="D48" s="203">
        <f>ROUND(G48/(G$15+G$17),2)</f>
        <v/>
      </c>
      <c r="E48" s="382" t="n"/>
      <c r="F48" s="383" t="n"/>
      <c r="G48" s="207" t="n">
        <v>5498.77</v>
      </c>
      <c r="H48" s="384" t="n"/>
      <c r="I48" s="207" t="n"/>
      <c r="J48" s="207">
        <f>ROUND(D48*(J15+J17),2)</f>
        <v/>
      </c>
    </row>
    <row r="49" ht="14.25" customFormat="1" customHeight="1" s="305">
      <c r="A49" s="373" t="n"/>
      <c r="B49" s="373" t="n"/>
      <c r="C49" s="381" t="inlineStr">
        <is>
          <t>Итого СМР (с НР и СП)</t>
        </is>
      </c>
      <c r="D49" s="373" t="n"/>
      <c r="E49" s="382" t="n"/>
      <c r="F49" s="383" t="n"/>
      <c r="G49" s="207">
        <f>G15+G32+G45+G47+G48</f>
        <v/>
      </c>
      <c r="H49" s="384" t="n"/>
      <c r="I49" s="207" t="n"/>
      <c r="J49" s="207">
        <f>J15+J32+J45+J47+J48</f>
        <v/>
      </c>
    </row>
    <row r="50" ht="14.25" customFormat="1" customHeight="1" s="305">
      <c r="A50" s="373" t="n"/>
      <c r="B50" s="373" t="n"/>
      <c r="C50" s="381" t="inlineStr">
        <is>
          <t>ВСЕГО СМР + ОБОРУДОВАНИЕ</t>
        </is>
      </c>
      <c r="D50" s="373" t="n"/>
      <c r="E50" s="382" t="n"/>
      <c r="F50" s="383" t="n"/>
      <c r="G50" s="207">
        <f>G49+G37</f>
        <v/>
      </c>
      <c r="H50" s="384" t="n"/>
      <c r="I50" s="207" t="n"/>
      <c r="J50" s="207">
        <f>J49+J37</f>
        <v/>
      </c>
    </row>
    <row r="51" ht="34.5" customFormat="1" customHeight="1" s="305">
      <c r="A51" s="373" t="n"/>
      <c r="B51" s="373" t="n"/>
      <c r="C51" s="381" t="inlineStr">
        <is>
          <t>ИТОГО ПОКАЗАТЕЛЬ НА ЕД. ИЗМ.</t>
        </is>
      </c>
      <c r="D51" s="373" t="inlineStr">
        <is>
          <t>1 км</t>
        </is>
      </c>
      <c r="E51" s="452" t="n">
        <v>1</v>
      </c>
      <c r="F51" s="383" t="n"/>
      <c r="G51" s="207">
        <f>G50/E51</f>
        <v/>
      </c>
      <c r="H51" s="384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89" t="inlineStr">
        <is>
          <t>Приложение №6</t>
        </is>
      </c>
    </row>
    <row r="2" ht="21.75" customHeight="1" s="325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220 кВ (с алюминиевой жилой) сечение жилы 400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5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5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5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5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2" sqref="D12"/>
    </sheetView>
  </sheetViews>
  <sheetFormatPr baseColWidth="8" defaultColWidth="9.109375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5">
      <c r="A11" s="362" t="inlineStr">
        <is>
          <t>К1-10-6</t>
        </is>
      </c>
      <c r="B11" s="362" t="inlineStr">
        <is>
          <t>УНЦ КЛ 6-500 кВ (с алюминиевой жилой)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7" sqref="D17:D24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57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0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0" t="n">
        <v>0.021</v>
      </c>
    </row>
    <row r="17" ht="27.6" customHeight="1" s="325">
      <c r="B17" s="362" t="inlineStr">
        <is>
          <t>Пусконаладочные работы*</t>
        </is>
      </c>
      <c r="C17" s="362" t="n"/>
      <c r="D17" s="310" t="inlineStr">
        <is>
          <t>Расчет</t>
        </is>
      </c>
    </row>
    <row r="18" ht="31.5" customHeight="1" s="325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0" t="n">
        <v>0.0214</v>
      </c>
    </row>
    <row r="19" ht="31.5" customHeight="1" s="325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0" t="n">
        <v>0.002</v>
      </c>
    </row>
    <row r="20" ht="24" customHeight="1" s="325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0" t="n">
        <v>0.03</v>
      </c>
    </row>
    <row r="21" ht="18.75" customHeight="1" s="325">
      <c r="B21" s="259" t="n"/>
    </row>
    <row r="22" ht="18.75" customHeight="1" s="325">
      <c r="B22" s="259" t="n"/>
    </row>
    <row r="23" ht="18.75" customHeight="1" s="325">
      <c r="B23" s="259" t="n"/>
    </row>
    <row r="24" ht="18.75" customHeight="1" s="325">
      <c r="B24" s="259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:D24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56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7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8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2025-01-24T12:03:44Z</dcterms:modified>
  <cp:lastModifiedBy>user1</cp:lastModifiedBy>
</cp:coreProperties>
</file>