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3264" windowHeight="5184" tabRatio="924" firstSheet="4" activeTab="4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 3'!$A$1:$H$27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ОБ'!$A$1:$J$50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IntlFixup" localSheetId="6">TRUE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Fill" localSheetId="6">#REF!</definedName>
    <definedName name="_xlnm._FilterDatabase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ehc" localSheetId="6">#REF!</definedName>
    <definedName name="hfcxt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6">{#N/A,#N/A,FALSE,"Aging Summary";#N/A,#N/A,FALSE,"Ratio Analysis";#N/A,#N/A,FALSE,"Test 120 Day Accts";#N/A,#N/A,FALSE,"Tickmarks"}</definedName>
    <definedName name="корр" localSheetId="6">{#N/A,#N/A,FALSE,"Шаблон_Спец1"}</definedName>
    <definedName name="С" localSheetId="6">{#N/A,#N/A,FALSE,"Шаблон_Спец1"}</definedName>
    <definedName name="урс123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b val="1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59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1" applyAlignment="1" pivotButton="0" quotePrefix="0" xfId="0">
      <alignment vertical="center" wrapText="1"/>
    </xf>
    <xf numFmtId="0" fontId="18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9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20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20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17" fillId="0" borderId="0" pivotButton="0" quotePrefix="0" xfId="0"/>
    <xf numFmtId="4" fontId="17" fillId="0" borderId="1" applyAlignment="1" pivotButton="0" quotePrefix="0" xfId="0">
      <alignment vertical="top"/>
    </xf>
    <xf numFmtId="0" fontId="17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20" fillId="0" borderId="0" applyAlignment="1" pivotButton="0" quotePrefix="0" xfId="0">
      <alignment wrapText="1"/>
    </xf>
    <xf numFmtId="0" fontId="18" fillId="0" borderId="0" applyAlignment="1" pivotButton="0" quotePrefix="0" xfId="0">
      <alignment horizontal="center" vertical="center"/>
    </xf>
    <xf numFmtId="0" fontId="18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center" vertical="top" wrapText="1"/>
    </xf>
    <xf numFmtId="0" fontId="1" fillId="0" borderId="4" applyAlignment="1" pivotButton="0" quotePrefix="0" xfId="0">
      <alignment horizontal="left" vertical="center" wrapText="1"/>
    </xf>
    <xf numFmtId="2" fontId="1" fillId="0" borderId="4" applyAlignment="1" pivotButton="0" quotePrefix="0" xfId="0">
      <alignment horizontal="right" vertical="center" wrapText="1"/>
    </xf>
    <xf numFmtId="10" fontId="16" fillId="0" borderId="0" pivotButton="0" quotePrefix="0" xfId="0"/>
    <xf numFmtId="166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/>
    </xf>
    <xf numFmtId="43" fontId="2" fillId="0" borderId="2" applyAlignment="1" pivotButton="0" quotePrefix="0" xfId="0">
      <alignment vertical="center" wrapText="1"/>
    </xf>
    <xf numFmtId="4" fontId="1" fillId="0" borderId="2" applyAlignment="1" pivotButton="0" quotePrefix="0" xfId="0">
      <alignment horizontal="right" vertical="top" wrapText="1"/>
    </xf>
    <xf numFmtId="2" fontId="1" fillId="0" borderId="2" applyAlignment="1" pivotButton="0" quotePrefix="0" xfId="0">
      <alignment horizontal="right" vertical="top" wrapText="1"/>
    </xf>
    <xf numFmtId="167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0" fillId="0" borderId="0" pivotButton="0" quotePrefix="0" xfId="0"/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top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9" fontId="16" fillId="0" borderId="1" applyAlignment="1" pivotButton="0" quotePrefix="0" xfId="0">
      <alignment vertical="center" wrapText="1"/>
    </xf>
    <xf numFmtId="2" fontId="16" fillId="0" borderId="1" applyAlignment="1" pivotButton="0" quotePrefix="0" xfId="0">
      <alignment vertical="center" wrapText="1"/>
    </xf>
    <xf numFmtId="0" fontId="17" fillId="0" borderId="4" applyAlignment="1" pivotButton="0" quotePrefix="0" xfId="0">
      <alignment vertical="center" wrapText="1"/>
    </xf>
    <xf numFmtId="2" fontId="17" fillId="0" borderId="4" applyAlignment="1" pivotButton="0" quotePrefix="0" xfId="0">
      <alignment vertical="center" wrapText="1"/>
    </xf>
    <xf numFmtId="2" fontId="17" fillId="0" borderId="1" applyAlignment="1" pivotButton="0" quotePrefix="0" xfId="0">
      <alignment vertical="center" wrapText="1"/>
    </xf>
    <xf numFmtId="0" fontId="0" fillId="0" borderId="0" pivotButton="0" quotePrefix="0" xfId="0"/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17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17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8" fillId="0" borderId="0" applyAlignment="1" pivotButton="0" quotePrefix="0" xfId="0">
      <alignment horizontal="center" vertical="center" wrapText="1"/>
    </xf>
    <xf numFmtId="0" fontId="17" fillId="0" borderId="4" applyAlignment="1" pivotButton="0" quotePrefix="0" xfId="0">
      <alignment horizontal="right" vertical="center" wrapText="1"/>
    </xf>
    <xf numFmtId="0" fontId="17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17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4" pivotButton="0" quotePrefix="0" xfId="0"/>
    <xf numFmtId="0" fontId="0" fillId="0" borderId="15" pivotButton="0" quotePrefix="0" xfId="0"/>
    <xf numFmtId="43" fontId="2" fillId="0" borderId="1" applyAlignment="1" pivotButton="0" quotePrefix="0" xfId="0">
      <alignment vertical="center" wrapText="1"/>
    </xf>
    <xf numFmtId="43" fontId="2" fillId="0" borderId="2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top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1" pivotButton="0" quotePrefix="0" xfId="0"/>
    <xf numFmtId="0" fontId="0" fillId="0" borderId="12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tabSelected="1" view="pageBreakPreview" topLeftCell="A23" zoomScale="85" zoomScaleNormal="55" workbookViewId="0">
      <selection activeCell="C27" sqref="C27"/>
    </sheetView>
  </sheetViews>
  <sheetFormatPr baseColWidth="8" defaultColWidth="9.109375" defaultRowHeight="15.6"/>
  <cols>
    <col width="9.109375" customWidth="1" style="325" min="1" max="2"/>
    <col width="51.6640625" customWidth="1" style="325" min="3" max="3"/>
    <col width="47" customWidth="1" style="325" min="4" max="4"/>
    <col width="37.33203125" customWidth="1" style="325" min="5" max="5"/>
    <col width="9.109375" customWidth="1" style="325" min="6" max="6"/>
  </cols>
  <sheetData>
    <row r="3">
      <c r="B3" s="355" t="inlineStr">
        <is>
          <t>Приложение № 1</t>
        </is>
      </c>
    </row>
    <row r="4">
      <c r="B4" s="356" t="inlineStr">
        <is>
          <t>Сравнительная таблица отбора объекта-представителя</t>
        </is>
      </c>
    </row>
    <row r="5" ht="84.15000000000001" customHeight="1" s="323">
      <c r="B5" s="358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23">
      <c r="B6" s="259" t="n"/>
      <c r="C6" s="259" t="n"/>
      <c r="D6" s="259" t="n"/>
    </row>
    <row r="7" ht="64.5" customHeight="1" s="323">
      <c r="B7" s="357" t="inlineStr">
        <is>
          <t>Наименование разрабатываемого показателя УНЦ - Муфта концевая 6 кВ сечением 630 мм2.</t>
        </is>
      </c>
    </row>
    <row r="8" ht="31.65" customHeight="1" s="323">
      <c r="B8" s="357" t="inlineStr">
        <is>
          <t>Сопоставимый уровень цен: 2 кв. 2018 г.</t>
        </is>
      </c>
    </row>
    <row r="9" ht="15.75" customHeight="1" s="323">
      <c r="B9" s="357" t="inlineStr">
        <is>
          <t>Единица измерения  — 1 ед</t>
        </is>
      </c>
    </row>
    <row r="10">
      <c r="B10" s="357" t="n"/>
    </row>
    <row r="11">
      <c r="B11" s="361" t="inlineStr">
        <is>
          <t>№ п/п</t>
        </is>
      </c>
      <c r="C11" s="361" t="inlineStr">
        <is>
          <t>Параметр</t>
        </is>
      </c>
      <c r="D11" s="361" t="inlineStr">
        <is>
          <t xml:space="preserve">Объект-представитель </t>
        </is>
      </c>
      <c r="E11" s="235" t="n"/>
    </row>
    <row r="12" ht="96.75" customHeight="1" s="323">
      <c r="B12" s="361" t="n">
        <v>1</v>
      </c>
      <c r="C12" s="337" t="inlineStr">
        <is>
          <t>Наименование объекта-представителя</t>
        </is>
      </c>
      <c r="D12" s="361" t="inlineStr">
        <is>
          <t>Строительство КТПБ 10кВ, КЛ 10 кВ от ТП 10кВ №2661 до проект. КТПБ, пункт учета электроэнергии в проект КТПБ ЦРЭС для объекта, расположенного по адресу: г.Челябинск, ул. Чайковского, 181 (0,8 МВА, 0,313 км)</t>
        </is>
      </c>
    </row>
    <row r="13">
      <c r="B13" s="361" t="n">
        <v>2</v>
      </c>
      <c r="C13" s="337" t="inlineStr">
        <is>
          <t>Наименование субъекта Российской Федерации</t>
        </is>
      </c>
      <c r="D13" s="361" t="inlineStr">
        <is>
          <t>Челябинская область</t>
        </is>
      </c>
    </row>
    <row r="14">
      <c r="B14" s="361" t="n">
        <v>3</v>
      </c>
      <c r="C14" s="337" t="inlineStr">
        <is>
          <t>Климатический район и подрайон</t>
        </is>
      </c>
      <c r="D14" s="361" t="inlineStr">
        <is>
          <t>IВ</t>
        </is>
      </c>
    </row>
    <row r="15">
      <c r="B15" s="361" t="n">
        <v>4</v>
      </c>
      <c r="C15" s="337" t="inlineStr">
        <is>
          <t>Мощность объекта</t>
        </is>
      </c>
      <c r="D15" s="361" t="n">
        <v>1</v>
      </c>
    </row>
    <row r="16" ht="116.4" customHeight="1" s="323">
      <c r="B16" s="361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61" t="inlineStr">
        <is>
          <t>Муфта концевая 6 кВ сечением 630 мм2</t>
        </is>
      </c>
    </row>
    <row r="17" ht="79.5" customHeight="1" s="323">
      <c r="B17" s="361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70">
        <f>SUM(D18:D21)</f>
        <v/>
      </c>
      <c r="E17" s="258" t="n"/>
    </row>
    <row r="18">
      <c r="B18" s="234" t="inlineStr">
        <is>
          <t>6.1</t>
        </is>
      </c>
      <c r="C18" s="337" t="inlineStr">
        <is>
          <t>строительно-монтажные работы</t>
        </is>
      </c>
      <c r="D18" s="270" t="n">
        <v>44.57</v>
      </c>
    </row>
    <row r="19" ht="15.75" customHeight="1" s="323">
      <c r="B19" s="234" t="inlineStr">
        <is>
          <t>6.2</t>
        </is>
      </c>
      <c r="C19" s="337" t="inlineStr">
        <is>
          <t>оборудование и инвентарь</t>
        </is>
      </c>
      <c r="D19" s="270" t="n">
        <v>0</v>
      </c>
    </row>
    <row r="20" ht="16.5" customHeight="1" s="323">
      <c r="B20" s="234" t="inlineStr">
        <is>
          <t>6.3</t>
        </is>
      </c>
      <c r="C20" s="337" t="inlineStr">
        <is>
          <t>пусконаладочные работы</t>
        </is>
      </c>
      <c r="D20" s="270" t="n">
        <v>0</v>
      </c>
    </row>
    <row r="21" ht="35.4" customHeight="1" s="323">
      <c r="B21" s="234" t="inlineStr">
        <is>
          <t>6.4</t>
        </is>
      </c>
      <c r="C21" s="233" t="inlineStr">
        <is>
          <t>прочие и лимитированные затраты</t>
        </is>
      </c>
      <c r="D21" s="270">
        <f>D18*2.5%+(D18+D18*2.5%)*2.9%</f>
        <v/>
      </c>
    </row>
    <row r="22">
      <c r="B22" s="361" t="n">
        <v>7</v>
      </c>
      <c r="C22" s="233" t="inlineStr">
        <is>
          <t>Сопоставимый уровень цен</t>
        </is>
      </c>
      <c r="D22" s="271" t="inlineStr">
        <is>
          <t>2 кв. 2018 г.</t>
        </is>
      </c>
      <c r="E22" s="231" t="n"/>
    </row>
    <row r="23" ht="123" customHeight="1" s="323">
      <c r="B23" s="361" t="n">
        <v>8</v>
      </c>
      <c r="C23" s="232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70">
        <f>D17</f>
        <v/>
      </c>
      <c r="E23" s="258" t="n"/>
    </row>
    <row r="24" ht="60.75" customHeight="1" s="323">
      <c r="B24" s="361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270">
        <f>D23/D15</f>
        <v/>
      </c>
      <c r="E24" s="231" t="n"/>
    </row>
    <row r="25" ht="48.15" customHeight="1" s="323">
      <c r="B25" s="361" t="n">
        <v>10</v>
      </c>
      <c r="C25" s="337" t="inlineStr">
        <is>
          <t>Примечание</t>
        </is>
      </c>
      <c r="D25" s="270" t="n"/>
    </row>
    <row r="26">
      <c r="B26" s="229" t="n"/>
      <c r="C26" s="228" t="n"/>
      <c r="D26" s="228" t="n"/>
    </row>
    <row r="27" ht="37.5" customHeight="1" s="323">
      <c r="B27" s="227" t="n"/>
    </row>
    <row r="28">
      <c r="B28" s="325" t="inlineStr">
        <is>
          <t>Составил ______________________    А.Р. Маркова</t>
        </is>
      </c>
    </row>
    <row r="29">
      <c r="B29" s="227" t="inlineStr">
        <is>
          <t xml:space="preserve">                         (подпись, инициалы, фамилия)</t>
        </is>
      </c>
    </row>
    <row r="31">
      <c r="B31" s="325" t="inlineStr">
        <is>
          <t>Проверил ______________________        А.В. Костянецкая</t>
        </is>
      </c>
    </row>
    <row r="32">
      <c r="B32" s="227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6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3:L30"/>
  <sheetViews>
    <sheetView view="pageBreakPreview" topLeftCell="A4" zoomScale="70" zoomScaleNormal="70" workbookViewId="0">
      <selection activeCell="E17" sqref="E17"/>
    </sheetView>
  </sheetViews>
  <sheetFormatPr baseColWidth="8" defaultColWidth="9.109375" defaultRowHeight="15.6"/>
  <cols>
    <col width="5.6640625" customWidth="1" style="325" min="1" max="1"/>
    <col width="9.109375" customWidth="1" style="325" min="2" max="2"/>
    <col width="35.33203125" customWidth="1" style="325" min="3" max="3"/>
    <col width="13.88671875" customWidth="1" style="325" min="4" max="4"/>
    <col width="24.88671875" customWidth="1" style="325" min="5" max="5"/>
    <col width="15.6640625" customWidth="1" style="325" min="6" max="6"/>
    <col width="14.88671875" customWidth="1" style="325" min="7" max="7"/>
    <col width="16.6640625" customWidth="1" style="325" min="8" max="8"/>
    <col width="13" customWidth="1" style="325" min="9" max="10"/>
    <col width="18" customWidth="1" style="325" min="11" max="11"/>
    <col width="9.109375" customWidth="1" style="325" min="12" max="12"/>
  </cols>
  <sheetData>
    <row r="3">
      <c r="B3" s="355" t="inlineStr">
        <is>
          <t>Приложение № 2</t>
        </is>
      </c>
      <c r="K3" s="227" t="n"/>
    </row>
    <row r="4">
      <c r="B4" s="356" t="inlineStr">
        <is>
          <t>Расчет стоимости основных видов работ для выбора объекта-представителя</t>
        </is>
      </c>
    </row>
    <row r="5">
      <c r="B5" s="236" t="n"/>
      <c r="C5" s="236" t="n"/>
      <c r="D5" s="236" t="n"/>
      <c r="E5" s="236" t="n"/>
      <c r="F5" s="236" t="n"/>
      <c r="G5" s="236" t="n"/>
      <c r="H5" s="236" t="n"/>
      <c r="I5" s="236" t="n"/>
      <c r="J5" s="236" t="n"/>
      <c r="K5" s="236" t="n"/>
    </row>
    <row r="6" ht="29.25" customHeight="1" s="323">
      <c r="B6" s="357">
        <f>'Прил.1 Сравнит табл'!B7:D7</f>
        <v/>
      </c>
    </row>
    <row r="7">
      <c r="B7" s="357">
        <f>'Прил.1 Сравнит табл'!B9:D9</f>
        <v/>
      </c>
    </row>
    <row r="8" ht="18.75" customHeight="1" s="323">
      <c r="B8" s="260" t="n"/>
    </row>
    <row r="9" ht="15.75" customHeight="1" s="323">
      <c r="A9" s="325" t="n"/>
      <c r="B9" s="361" t="inlineStr">
        <is>
          <t>№ п/п</t>
        </is>
      </c>
      <c r="C9" s="361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61" t="inlineStr">
        <is>
          <t>Объект-представитель 1</t>
        </is>
      </c>
      <c r="E9" s="439" t="n"/>
      <c r="F9" s="439" t="n"/>
      <c r="G9" s="439" t="n"/>
      <c r="H9" s="439" t="n"/>
      <c r="I9" s="439" t="n"/>
      <c r="J9" s="440" t="n"/>
      <c r="K9" s="325" t="n"/>
      <c r="L9" s="325" t="n"/>
    </row>
    <row r="10" ht="15.75" customHeight="1" s="323">
      <c r="A10" s="325" t="n"/>
      <c r="B10" s="441" t="n"/>
      <c r="C10" s="441" t="n"/>
      <c r="D10" s="361" t="inlineStr">
        <is>
          <t>Номер сметы</t>
        </is>
      </c>
      <c r="E10" s="361" t="inlineStr">
        <is>
          <t>Наименование сметы</t>
        </is>
      </c>
      <c r="F10" s="361" t="inlineStr">
        <is>
          <t>Сметная стоимость в уровне цен 2 кв. 2018г., тыс. руб.</t>
        </is>
      </c>
      <c r="G10" s="439" t="n"/>
      <c r="H10" s="439" t="n"/>
      <c r="I10" s="439" t="n"/>
      <c r="J10" s="440" t="n"/>
      <c r="K10" s="325" t="n"/>
      <c r="L10" s="325" t="n"/>
    </row>
    <row r="11" ht="31.5" customHeight="1" s="323">
      <c r="A11" s="325" t="n"/>
      <c r="B11" s="442" t="n"/>
      <c r="C11" s="442" t="n"/>
      <c r="D11" s="442" t="n"/>
      <c r="E11" s="442" t="n"/>
      <c r="F11" s="362" t="inlineStr">
        <is>
          <t>Строительные работы</t>
        </is>
      </c>
      <c r="G11" s="362" t="inlineStr">
        <is>
          <t>Монтажные работы</t>
        </is>
      </c>
      <c r="H11" s="362" t="inlineStr">
        <is>
          <t>Оборудование</t>
        </is>
      </c>
      <c r="I11" s="362" t="inlineStr">
        <is>
          <t>Прочее</t>
        </is>
      </c>
      <c r="J11" s="362" t="inlineStr">
        <is>
          <t>Всего</t>
        </is>
      </c>
      <c r="K11" s="325" t="n"/>
      <c r="L11" s="325" t="n"/>
    </row>
    <row r="12" ht="231" customHeight="1" s="323">
      <c r="A12" s="325" t="n"/>
      <c r="B12" s="361" t="n">
        <v>1</v>
      </c>
      <c r="C12" s="337" t="inlineStr">
        <is>
          <t>Муфта концевая 6 кВ сечением 630 мм2</t>
        </is>
      </c>
      <c r="D12" s="317" t="inlineStr">
        <is>
          <t>02-01-05</t>
        </is>
      </c>
      <c r="E12" s="337" t="inlineStr">
        <is>
          <t>Строительство КЛ-10 кВ от ТП 2661 до проектируемой КТПБ для объектов, расположенных по адресам: г. Челябинск, ул. Чайковского, 181, г. Челябинск, пересечение ул. Чайковскоо - Бр. Кашириных, кадастровый номер участка: 74:36:0604020:21</t>
        </is>
      </c>
      <c r="F12" s="337" t="n"/>
      <c r="G12" s="318">
        <f>44573.38/1000</f>
        <v/>
      </c>
      <c r="H12" s="318" t="n"/>
      <c r="I12" s="318" t="n"/>
      <c r="J12" s="318">
        <f>SUM(F12:I12)</f>
        <v/>
      </c>
      <c r="K12" s="325" t="n"/>
      <c r="L12" s="325" t="n"/>
    </row>
    <row r="13" ht="15.75" customHeight="1" s="323">
      <c r="A13" s="325" t="n"/>
      <c r="B13" s="359" t="inlineStr">
        <is>
          <t>Всего по объекту:</t>
        </is>
      </c>
      <c r="C13" s="443" t="n"/>
      <c r="D13" s="443" t="n"/>
      <c r="E13" s="444" t="n"/>
      <c r="F13" s="319" t="n"/>
      <c r="G13" s="320">
        <f>G12</f>
        <v/>
      </c>
      <c r="H13" s="320" t="n"/>
      <c r="I13" s="320" t="n"/>
      <c r="J13" s="318">
        <f>SUM(F13:I13)</f>
        <v/>
      </c>
      <c r="K13" s="325" t="n"/>
      <c r="L13" s="325" t="n"/>
    </row>
    <row r="14" s="323">
      <c r="A14" s="325" t="n"/>
      <c r="B14" s="360" t="inlineStr">
        <is>
          <t>Всего по объекту в сопоставимом уровне цен 2кв. 2018г:</t>
        </is>
      </c>
      <c r="C14" s="439" t="n"/>
      <c r="D14" s="439" t="n"/>
      <c r="E14" s="440" t="n"/>
      <c r="F14" s="172" t="n"/>
      <c r="G14" s="321">
        <f>G13</f>
        <v/>
      </c>
      <c r="H14" s="321" t="n"/>
      <c r="I14" s="321" t="n"/>
      <c r="J14" s="318">
        <f>SUM(F14:I14)</f>
        <v/>
      </c>
      <c r="K14" s="325" t="n"/>
      <c r="L14" s="325" t="n"/>
    </row>
    <row r="15" ht="15" customHeight="1" s="323">
      <c r="A15" s="325" t="n"/>
      <c r="B15" s="325" t="n"/>
      <c r="C15" s="325" t="n"/>
      <c r="D15" s="325" t="n"/>
      <c r="E15" s="325" t="n"/>
      <c r="F15" s="325" t="n"/>
      <c r="G15" s="325" t="n"/>
      <c r="H15" s="325" t="n"/>
      <c r="I15" s="325" t="n"/>
      <c r="J15" s="325" t="n"/>
      <c r="K15" s="325" t="n"/>
      <c r="L15" s="325" t="n"/>
    </row>
    <row r="16" ht="15" customHeight="1" s="323">
      <c r="A16" s="325" t="n"/>
      <c r="B16" s="325" t="n"/>
      <c r="C16" s="325" t="n"/>
      <c r="D16" s="325" t="n"/>
      <c r="E16" s="325" t="n"/>
      <c r="F16" s="325" t="n"/>
      <c r="G16" s="325" t="n"/>
      <c r="H16" s="325" t="n"/>
      <c r="I16" s="325" t="n"/>
      <c r="J16" s="325" t="n"/>
      <c r="K16" s="325" t="n"/>
      <c r="L16" s="325" t="n"/>
    </row>
    <row r="17" ht="15" customHeight="1" s="323">
      <c r="A17" s="325" t="n"/>
      <c r="B17" s="325" t="n"/>
      <c r="C17" s="325" t="n"/>
      <c r="D17" s="325" t="n"/>
      <c r="E17" s="325" t="n"/>
      <c r="F17" s="325" t="n"/>
      <c r="G17" s="325" t="n"/>
      <c r="H17" s="325" t="n"/>
      <c r="I17" s="325" t="n"/>
      <c r="J17" s="325" t="n"/>
      <c r="K17" s="325" t="n"/>
      <c r="L17" s="325" t="n"/>
    </row>
    <row r="18" ht="15" customHeight="1" s="323">
      <c r="A18" s="325" t="n"/>
      <c r="B18" s="325" t="n"/>
      <c r="C18" s="306" t="inlineStr">
        <is>
          <t>Составил ______________________     А.Р. Маркова</t>
        </is>
      </c>
      <c r="D18" s="313" t="n"/>
      <c r="E18" s="313" t="n"/>
      <c r="F18" s="325" t="n"/>
      <c r="G18" s="325" t="n"/>
      <c r="H18" s="325" t="n"/>
      <c r="I18" s="325" t="n"/>
      <c r="J18" s="325" t="n"/>
      <c r="K18" s="325" t="n"/>
      <c r="L18" s="325" t="n"/>
    </row>
    <row r="19" ht="15" customHeight="1" s="323">
      <c r="A19" s="325" t="n"/>
      <c r="B19" s="325" t="n"/>
      <c r="C19" s="314" t="inlineStr">
        <is>
          <t xml:space="preserve">                         (подпись, инициалы, фамилия)</t>
        </is>
      </c>
      <c r="D19" s="313" t="n"/>
      <c r="E19" s="313" t="n"/>
      <c r="F19" s="325" t="n"/>
      <c r="G19" s="325" t="n"/>
      <c r="H19" s="325" t="n"/>
      <c r="I19" s="325" t="n"/>
      <c r="J19" s="325" t="n"/>
      <c r="K19" s="325" t="n"/>
      <c r="L19" s="325" t="n"/>
    </row>
    <row r="20" ht="15" customHeight="1" s="323">
      <c r="A20" s="325" t="n"/>
      <c r="B20" s="325" t="n"/>
      <c r="C20" s="306" t="n"/>
      <c r="D20" s="313" t="n"/>
      <c r="E20" s="313" t="n"/>
      <c r="F20" s="325" t="n"/>
      <c r="G20" s="325" t="n"/>
      <c r="H20" s="325" t="n"/>
      <c r="I20" s="325" t="n"/>
      <c r="J20" s="325" t="n"/>
      <c r="K20" s="325" t="n"/>
      <c r="L20" s="325" t="n"/>
    </row>
    <row r="21" ht="15" customHeight="1" s="323">
      <c r="A21" s="325" t="n"/>
      <c r="B21" s="325" t="n"/>
      <c r="C21" s="306" t="inlineStr">
        <is>
          <t>Проверил ______________________        А.В. Костянецкая</t>
        </is>
      </c>
      <c r="D21" s="313" t="n"/>
      <c r="E21" s="313" t="n"/>
      <c r="F21" s="325" t="n"/>
      <c r="G21" s="325" t="n"/>
      <c r="H21" s="325" t="n"/>
      <c r="I21" s="325" t="n"/>
      <c r="J21" s="325" t="n"/>
      <c r="K21" s="325" t="n"/>
      <c r="L21" s="325" t="n"/>
    </row>
    <row r="22" ht="15" customHeight="1" s="323">
      <c r="A22" s="325" t="n"/>
      <c r="B22" s="325" t="n"/>
      <c r="C22" s="314" t="inlineStr">
        <is>
          <t xml:space="preserve">                        (подпись, инициалы, фамилия)</t>
        </is>
      </c>
      <c r="D22" s="313" t="n"/>
      <c r="E22" s="313" t="n"/>
      <c r="F22" s="325" t="n"/>
      <c r="G22" s="325" t="n"/>
      <c r="H22" s="325" t="n"/>
      <c r="I22" s="325" t="n"/>
      <c r="J22" s="325" t="n"/>
      <c r="K22" s="325" t="n"/>
      <c r="L22" s="325" t="n"/>
    </row>
    <row r="23" ht="15" customHeight="1" s="323">
      <c r="A23" s="325" t="n"/>
      <c r="B23" s="325" t="n"/>
      <c r="C23" s="325" t="n"/>
      <c r="D23" s="325" t="n"/>
      <c r="E23" s="325" t="n"/>
      <c r="F23" s="325" t="n"/>
      <c r="G23" s="325" t="n"/>
      <c r="H23" s="325" t="n"/>
      <c r="I23" s="325" t="n"/>
      <c r="J23" s="325" t="n"/>
      <c r="K23" s="325" t="n"/>
      <c r="L23" s="325" t="n"/>
    </row>
    <row r="24" ht="15" customHeight="1" s="323">
      <c r="A24" s="325" t="n"/>
      <c r="B24" s="325" t="n"/>
      <c r="C24" s="325" t="n"/>
      <c r="D24" s="325" t="n"/>
      <c r="E24" s="325" t="n"/>
      <c r="F24" s="325" t="n"/>
      <c r="G24" s="325" t="n"/>
      <c r="H24" s="325" t="n"/>
      <c r="I24" s="325" t="n"/>
      <c r="J24" s="325" t="n"/>
      <c r="K24" s="325" t="n"/>
      <c r="L24" s="325" t="n"/>
    </row>
    <row r="25" ht="15" customHeight="1" s="323">
      <c r="A25" s="325" t="n"/>
      <c r="B25" s="325" t="n"/>
      <c r="C25" s="325" t="n"/>
      <c r="D25" s="325" t="n"/>
      <c r="E25" s="325" t="n"/>
      <c r="F25" s="325" t="n"/>
      <c r="G25" s="325" t="n"/>
      <c r="H25" s="325" t="n"/>
      <c r="I25" s="325" t="n"/>
      <c r="J25" s="325" t="n"/>
      <c r="K25" s="325" t="n"/>
      <c r="L25" s="325" t="n"/>
    </row>
    <row r="26" ht="15" customHeight="1" s="323">
      <c r="A26" s="325" t="n"/>
      <c r="B26" s="325" t="n"/>
      <c r="C26" s="325" t="n"/>
      <c r="D26" s="325" t="n"/>
      <c r="E26" s="325" t="n"/>
      <c r="F26" s="325" t="n"/>
      <c r="G26" s="325" t="n"/>
      <c r="H26" s="325" t="n"/>
      <c r="I26" s="325" t="n"/>
      <c r="J26" s="325" t="n"/>
      <c r="K26" s="325" t="n"/>
      <c r="L26" s="325" t="n"/>
    </row>
    <row r="27" ht="15" customHeight="1" s="323">
      <c r="A27" s="325" t="n"/>
      <c r="B27" s="325" t="n"/>
      <c r="C27" s="325" t="n"/>
      <c r="D27" s="325" t="n"/>
      <c r="E27" s="325" t="n"/>
      <c r="F27" s="325" t="n"/>
      <c r="G27" s="325" t="n"/>
      <c r="H27" s="325" t="n"/>
      <c r="I27" s="325" t="n"/>
      <c r="J27" s="325" t="n"/>
      <c r="K27" s="325" t="n"/>
      <c r="L27" s="325" t="n"/>
    </row>
    <row r="28" ht="15" customHeight="1" s="323">
      <c r="A28" s="325" t="n"/>
      <c r="B28" s="325" t="n"/>
      <c r="C28" s="325" t="n"/>
      <c r="D28" s="325" t="n"/>
      <c r="E28" s="325" t="n"/>
      <c r="F28" s="325" t="n"/>
      <c r="G28" s="325" t="n"/>
      <c r="H28" s="325" t="n"/>
      <c r="I28" s="325" t="n"/>
      <c r="J28" s="325" t="n"/>
      <c r="K28" s="325" t="n"/>
      <c r="L28" s="325" t="n"/>
    </row>
    <row r="29" ht="15" customHeight="1" s="323">
      <c r="A29" s="325" t="n"/>
      <c r="B29" s="325" t="n"/>
      <c r="C29" s="325" t="n"/>
      <c r="D29" s="325" t="n"/>
      <c r="E29" s="325" t="n"/>
      <c r="F29" s="325" t="n"/>
      <c r="G29" s="325" t="n"/>
      <c r="H29" s="325" t="n"/>
      <c r="I29" s="325" t="n"/>
      <c r="J29" s="325" t="n"/>
      <c r="K29" s="325" t="n"/>
      <c r="L29" s="325" t="n"/>
    </row>
    <row r="30" ht="15" customHeight="1" s="323">
      <c r="A30" s="325" t="n"/>
      <c r="B30" s="325" t="n"/>
      <c r="C30" s="325" t="n"/>
      <c r="D30" s="325" t="n"/>
      <c r="E30" s="325" t="n"/>
      <c r="F30" s="325" t="n"/>
      <c r="G30" s="325" t="n"/>
      <c r="H30" s="325" t="n"/>
      <c r="I30" s="325" t="n"/>
      <c r="J30" s="325" t="n"/>
      <c r="K30" s="325" t="n"/>
      <c r="L30" s="325" t="n"/>
    </row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27"/>
  <sheetViews>
    <sheetView view="pageBreakPreview" topLeftCell="B4" workbookViewId="0">
      <selection activeCell="D23" sqref="D23"/>
    </sheetView>
  </sheetViews>
  <sheetFormatPr baseColWidth="8" defaultColWidth="9.109375" defaultRowHeight="15.6"/>
  <cols>
    <col width="9.109375" customWidth="1" style="325" min="1" max="1"/>
    <col width="12.6640625" customWidth="1" style="325" min="2" max="2"/>
    <col width="22.33203125" customWidth="1" style="325" min="3" max="3"/>
    <col width="49.6640625" customWidth="1" style="325" min="4" max="4"/>
    <col width="10.109375" customWidth="1" style="325" min="5" max="5"/>
    <col width="20.6640625" customWidth="1" style="325" min="6" max="6"/>
    <col width="20" customWidth="1" style="325" min="7" max="7"/>
    <col width="16.6640625" customWidth="1" style="325" min="8" max="8"/>
    <col width="9.109375" customWidth="1" style="325" min="9" max="10"/>
    <col width="15" customWidth="1" style="325" min="11" max="11"/>
    <col width="9.109375" customWidth="1" style="325" min="12" max="12"/>
  </cols>
  <sheetData>
    <row r="2">
      <c r="A2" s="355" t="inlineStr">
        <is>
          <t xml:space="preserve">Приложение № 3 </t>
        </is>
      </c>
    </row>
    <row r="3">
      <c r="A3" s="356" t="inlineStr">
        <is>
          <t>Объектная ресурсная ведомость</t>
        </is>
      </c>
    </row>
    <row r="4" ht="18.75" customHeight="1" s="323">
      <c r="A4" s="269" t="n"/>
      <c r="B4" s="269" t="n"/>
      <c r="C4" s="364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57" t="n"/>
    </row>
    <row r="6">
      <c r="A6" s="363" t="inlineStr">
        <is>
          <t>Наименование разрабатываемого показателя УНЦ -  Муфта концевая 6 кВ сечением 630 мм2.</t>
        </is>
      </c>
    </row>
    <row r="7">
      <c r="A7" s="363" t="n"/>
      <c r="B7" s="363" t="n"/>
      <c r="C7" s="363" t="n"/>
      <c r="D7" s="363" t="n"/>
      <c r="E7" s="363" t="n"/>
      <c r="F7" s="363" t="n"/>
      <c r="G7" s="363" t="n"/>
      <c r="H7" s="363" t="n"/>
    </row>
    <row r="8" ht="38.25" customHeight="1" s="323">
      <c r="A8" s="361" t="inlineStr">
        <is>
          <t>п/п</t>
        </is>
      </c>
      <c r="B8" s="361" t="inlineStr">
        <is>
          <t>№ЛСР</t>
        </is>
      </c>
      <c r="C8" s="361" t="inlineStr">
        <is>
          <t>Код ресурса</t>
        </is>
      </c>
      <c r="D8" s="361" t="inlineStr">
        <is>
          <t>Наименование ресурса</t>
        </is>
      </c>
      <c r="E8" s="361" t="inlineStr">
        <is>
          <t>Ед. изм.</t>
        </is>
      </c>
      <c r="F8" s="361" t="inlineStr">
        <is>
          <t>Кол-во единиц по данным объекта-представителя</t>
        </is>
      </c>
      <c r="G8" s="361" t="inlineStr">
        <is>
          <t>Сметная стоимость в ценах на 01.01.2000 (руб.)</t>
        </is>
      </c>
      <c r="H8" s="440" t="n"/>
    </row>
    <row r="9" ht="40.65" customHeight="1" s="323">
      <c r="A9" s="442" t="n"/>
      <c r="B9" s="442" t="n"/>
      <c r="C9" s="442" t="n"/>
      <c r="D9" s="442" t="n"/>
      <c r="E9" s="442" t="n"/>
      <c r="F9" s="442" t="n"/>
      <c r="G9" s="361" t="inlineStr">
        <is>
          <t>на ед.изм.</t>
        </is>
      </c>
      <c r="H9" s="361" t="inlineStr">
        <is>
          <t>общая</t>
        </is>
      </c>
    </row>
    <row r="10">
      <c r="A10" s="362" t="n">
        <v>1</v>
      </c>
      <c r="B10" s="362" t="n"/>
      <c r="C10" s="362" t="n">
        <v>2</v>
      </c>
      <c r="D10" s="362" t="inlineStr">
        <is>
          <t>З</t>
        </is>
      </c>
      <c r="E10" s="362" t="n">
        <v>4</v>
      </c>
      <c r="F10" s="362" t="n">
        <v>5</v>
      </c>
      <c r="G10" s="362" t="n">
        <v>6</v>
      </c>
      <c r="H10" s="362" t="n">
        <v>7</v>
      </c>
    </row>
    <row r="11" customFormat="1" s="239">
      <c r="A11" s="366" t="inlineStr">
        <is>
          <t>Затраты труда рабочих</t>
        </is>
      </c>
      <c r="B11" s="439" t="n"/>
      <c r="C11" s="439" t="n"/>
      <c r="D11" s="439" t="n"/>
      <c r="E11" s="440" t="n"/>
      <c r="F11" s="445">
        <f>SUM(F12:F12)</f>
        <v/>
      </c>
      <c r="G11" s="266" t="n"/>
      <c r="H11" s="446">
        <f>SUM(H12:H12)</f>
        <v/>
      </c>
    </row>
    <row r="12">
      <c r="A12" s="394" t="n">
        <v>1</v>
      </c>
      <c r="B12" s="242" t="n"/>
      <c r="C12" s="275" t="inlineStr">
        <is>
          <t>1-3-8</t>
        </is>
      </c>
      <c r="D12" s="263" t="inlineStr">
        <is>
          <t>Затраты труда рабочих (средний разряд работы 3,8)</t>
        </is>
      </c>
      <c r="E12" s="394" t="inlineStr">
        <is>
          <t>чел.-ч</t>
        </is>
      </c>
      <c r="F12" s="376" t="n">
        <v>14.52</v>
      </c>
      <c r="G12" s="447" t="n">
        <v>9.4</v>
      </c>
      <c r="H12" s="286">
        <f>ROUND(F12*G12,2)</f>
        <v/>
      </c>
      <c r="M12" s="448" t="n"/>
    </row>
    <row r="13">
      <c r="A13" s="365" t="inlineStr">
        <is>
          <t>Затраты труда машинистов</t>
        </is>
      </c>
      <c r="B13" s="439" t="n"/>
      <c r="C13" s="439" t="n"/>
      <c r="D13" s="439" t="n"/>
      <c r="E13" s="440" t="n"/>
      <c r="F13" s="366" t="n"/>
      <c r="G13" s="240" t="n"/>
      <c r="H13" s="446">
        <f>H14</f>
        <v/>
      </c>
    </row>
    <row r="14">
      <c r="A14" s="394" t="n">
        <v>2</v>
      </c>
      <c r="B14" s="367" t="n"/>
      <c r="C14" s="277" t="n">
        <v>2</v>
      </c>
      <c r="D14" s="263" t="inlineStr">
        <is>
          <t>Затраты труда машинистов</t>
        </is>
      </c>
      <c r="E14" s="394" t="inlineStr">
        <is>
          <t>чел.-ч</t>
        </is>
      </c>
      <c r="F14" s="394" t="n">
        <v>12.06</v>
      </c>
      <c r="G14" s="261" t="n"/>
      <c r="H14" s="287" t="n">
        <v>162.82</v>
      </c>
    </row>
    <row r="15" customFormat="1" s="239">
      <c r="A15" s="366" t="inlineStr">
        <is>
          <t>Машины и механизмы</t>
        </is>
      </c>
      <c r="B15" s="439" t="n"/>
      <c r="C15" s="439" t="n"/>
      <c r="D15" s="439" t="n"/>
      <c r="E15" s="440" t="n"/>
      <c r="F15" s="366" t="n"/>
      <c r="G15" s="240" t="n"/>
      <c r="H15" s="446">
        <f>SUM(H16:H16)</f>
        <v/>
      </c>
    </row>
    <row r="16">
      <c r="A16" s="394" t="n">
        <v>3</v>
      </c>
      <c r="B16" s="367" t="n"/>
      <c r="C16" s="277" t="inlineStr">
        <is>
          <t>91.06.09-001</t>
        </is>
      </c>
      <c r="D16" s="263" t="inlineStr">
        <is>
          <t>Вышки телескопические 25 м</t>
        </is>
      </c>
      <c r="E16" s="376" t="inlineStr">
        <is>
          <t>маш.час</t>
        </is>
      </c>
      <c r="F16" s="394" t="n">
        <v>12.06</v>
      </c>
      <c r="G16" s="284" t="n">
        <v>142.7</v>
      </c>
      <c r="H16" s="286">
        <f>ROUND(F16*G16,2)</f>
        <v/>
      </c>
      <c r="I16" s="290" t="n"/>
      <c r="J16" s="290" t="n"/>
      <c r="L16" s="290" t="n"/>
    </row>
    <row r="17">
      <c r="A17" s="366" t="inlineStr">
        <is>
          <t>Материалы</t>
        </is>
      </c>
      <c r="B17" s="439" t="n"/>
      <c r="C17" s="439" t="n"/>
      <c r="D17" s="439" t="n"/>
      <c r="E17" s="440" t="n"/>
      <c r="F17" s="366" t="n"/>
      <c r="G17" s="240" t="n"/>
      <c r="H17" s="446">
        <f>SUM(H18:H21)</f>
        <v/>
      </c>
    </row>
    <row r="18">
      <c r="A18" s="295" t="n">
        <v>4</v>
      </c>
      <c r="B18" s="295" t="n"/>
      <c r="C18" s="394" t="inlineStr">
        <is>
          <t>Прайс из СД ОП</t>
        </is>
      </c>
      <c r="D18" s="292" t="inlineStr">
        <is>
          <t>Муфта концевая 6 кВ сечением 630 мм2</t>
        </is>
      </c>
      <c r="E18" s="394" t="inlineStr">
        <is>
          <t>шт</t>
        </is>
      </c>
      <c r="F18" s="394" t="n">
        <v>6</v>
      </c>
      <c r="G18" s="292" t="n">
        <v>882.46</v>
      </c>
      <c r="H18" s="286">
        <f>ROUND(F18*G18,2)</f>
        <v/>
      </c>
    </row>
    <row r="19">
      <c r="A19" s="264" t="n">
        <v>5</v>
      </c>
      <c r="B19" s="367" t="n"/>
      <c r="C19" s="277" t="inlineStr">
        <is>
          <t>01.3.01.01-0001</t>
        </is>
      </c>
      <c r="D19" s="263" t="inlineStr">
        <is>
          <t>Бензин авиационный Б-70</t>
        </is>
      </c>
      <c r="E19" s="394" t="inlineStr">
        <is>
          <t>т</t>
        </is>
      </c>
      <c r="F19" s="394" t="n">
        <v>0.0008</v>
      </c>
      <c r="G19" s="261" t="n">
        <v>4488.4</v>
      </c>
      <c r="H19" s="286">
        <f>ROUND(F19*G19,2)</f>
        <v/>
      </c>
      <c r="I19" s="291" t="n"/>
      <c r="J19" s="290" t="n"/>
      <c r="K19" s="290" t="n"/>
    </row>
    <row r="20">
      <c r="A20" s="264" t="n">
        <v>6</v>
      </c>
      <c r="B20" s="367" t="n"/>
      <c r="C20" s="277" t="inlineStr">
        <is>
          <t>01.7.06.07-0002</t>
        </is>
      </c>
      <c r="D20" s="263" t="inlineStr">
        <is>
          <t>Лента монтажная, тип ЛМ-5</t>
        </is>
      </c>
      <c r="E20" s="394" t="inlineStr">
        <is>
          <t>10 м</t>
        </is>
      </c>
      <c r="F20" s="394" t="n">
        <v>0.048</v>
      </c>
      <c r="G20" s="261" t="n">
        <v>6.9</v>
      </c>
      <c r="H20" s="286">
        <f>ROUND(F20*G20,2)</f>
        <v/>
      </c>
      <c r="I20" s="291" t="n"/>
      <c r="J20" s="290" t="n"/>
      <c r="K20" s="290" t="n"/>
    </row>
    <row r="21">
      <c r="A21" s="295" t="n">
        <v>7</v>
      </c>
      <c r="B21" s="367" t="n"/>
      <c r="C21" s="277" t="inlineStr">
        <is>
          <t>01.3.01.05-0009</t>
        </is>
      </c>
      <c r="D21" s="263" t="inlineStr">
        <is>
          <t>Парафин нефтяной твердый Т-1</t>
        </is>
      </c>
      <c r="E21" s="394" t="inlineStr">
        <is>
          <t>т</t>
        </is>
      </c>
      <c r="F21" s="394" t="n">
        <v>2e-05</v>
      </c>
      <c r="G21" s="261" t="n">
        <v>8105.71</v>
      </c>
      <c r="H21" s="286">
        <f>ROUND(F21*G21,2)</f>
        <v/>
      </c>
      <c r="I21" s="291" t="n"/>
      <c r="J21" s="290" t="n"/>
      <c r="K21" s="290" t="n"/>
    </row>
    <row r="23">
      <c r="B23" s="325" t="inlineStr">
        <is>
          <t>Составил ______________________     А.Р. Маркова</t>
        </is>
      </c>
    </row>
    <row r="24">
      <c r="B24" s="227" t="inlineStr">
        <is>
          <t xml:space="preserve">                         (подпись, инициалы, фамилия)</t>
        </is>
      </c>
    </row>
    <row r="26">
      <c r="B26" s="325" t="inlineStr">
        <is>
          <t>Проверил ______________________        А.В. Костянецкая</t>
        </is>
      </c>
    </row>
    <row r="27">
      <c r="B27" s="227" t="inlineStr">
        <is>
          <t xml:space="preserve">                        (подпись, инициалы, фамилия)</t>
        </is>
      </c>
    </row>
  </sheetData>
  <mergeCells count="15"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17:E17"/>
    <mergeCell ref="A6:H6"/>
  </mergeCells>
  <pageMargins left="0.7" right="0.7" top="0.75" bottom="0.75" header="0.3" footer="0.3"/>
  <pageSetup orientation="landscape" paperSize="9" scale="81" fitToHeight="0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28" workbookViewId="0">
      <selection activeCell="D43" sqref="D43"/>
    </sheetView>
  </sheetViews>
  <sheetFormatPr baseColWidth="8" defaultColWidth="9.109375" defaultRowHeight="14.4"/>
  <cols>
    <col width="4.109375" customWidth="1" style="323" min="1" max="1"/>
    <col width="36.33203125" customWidth="1" style="323" min="2" max="2"/>
    <col width="18.88671875" customWidth="1" style="323" min="3" max="3"/>
    <col width="18.33203125" customWidth="1" style="323" min="4" max="4"/>
    <col width="18.88671875" customWidth="1" style="323" min="5" max="5"/>
    <col width="11.33203125" customWidth="1" style="323" min="6" max="6"/>
    <col width="14.33203125" customWidth="1" style="323" min="7" max="7"/>
    <col width="9.109375" customWidth="1" style="323" min="8" max="11"/>
    <col width="13.6640625" customWidth="1" style="323" min="12" max="12"/>
    <col width="9.109375" customWidth="1" style="323" min="13" max="13"/>
  </cols>
  <sheetData>
    <row r="1">
      <c r="B1" s="306" t="n"/>
      <c r="C1" s="306" t="n"/>
      <c r="D1" s="306" t="n"/>
      <c r="E1" s="306" t="n"/>
    </row>
    <row r="2">
      <c r="B2" s="306" t="n"/>
      <c r="C2" s="306" t="n"/>
      <c r="D2" s="306" t="n"/>
      <c r="E2" s="389" t="inlineStr">
        <is>
          <t>Приложение № 4</t>
        </is>
      </c>
    </row>
    <row r="3">
      <c r="B3" s="306" t="n"/>
      <c r="C3" s="306" t="n"/>
      <c r="D3" s="306" t="n"/>
      <c r="E3" s="306" t="n"/>
    </row>
    <row r="4">
      <c r="B4" s="306" t="n"/>
      <c r="C4" s="306" t="n"/>
      <c r="D4" s="306" t="n"/>
      <c r="E4" s="306" t="n"/>
    </row>
    <row r="5">
      <c r="B5" s="345" t="inlineStr">
        <is>
          <t>Ресурсная модель</t>
        </is>
      </c>
    </row>
    <row r="6">
      <c r="B6" s="254" t="n"/>
      <c r="C6" s="306" t="n"/>
      <c r="D6" s="306" t="n"/>
      <c r="E6" s="306" t="n"/>
    </row>
    <row r="7" ht="25.5" customHeight="1" s="323">
      <c r="B7" s="354" t="inlineStr">
        <is>
          <t>Наименование разрабатываемого показателя УНЦ — Муфта концевая 6 кВ сечением 630 мм2.</t>
        </is>
      </c>
    </row>
    <row r="8">
      <c r="B8" s="369" t="inlineStr">
        <is>
          <t>Единица измерения  — 1 ед</t>
        </is>
      </c>
    </row>
    <row r="9">
      <c r="B9" s="254" t="n"/>
      <c r="C9" s="306" t="n"/>
      <c r="D9" s="306" t="n"/>
      <c r="E9" s="306" t="n"/>
    </row>
    <row r="10" ht="51" customHeight="1" s="323">
      <c r="B10" s="376" t="inlineStr">
        <is>
          <t>Наименование</t>
        </is>
      </c>
      <c r="C10" s="376" t="inlineStr">
        <is>
          <t>Сметная стоимость в ценах на 01.01.2023
 (руб.)</t>
        </is>
      </c>
      <c r="D10" s="376" t="inlineStr">
        <is>
          <t>Удельный вес, 
(в СМР)</t>
        </is>
      </c>
      <c r="E10" s="376" t="inlineStr">
        <is>
          <t>Удельный вес, % 
(от всего по РМ)</t>
        </is>
      </c>
    </row>
    <row r="11">
      <c r="B11" s="246" t="inlineStr">
        <is>
          <t>Оплата труда рабочих</t>
        </is>
      </c>
      <c r="C11" s="308">
        <f>'Прил.5 Расчет СМР и ОБ'!J15</f>
        <v/>
      </c>
      <c r="D11" s="248">
        <f>C11/$C$24</f>
        <v/>
      </c>
      <c r="E11" s="248">
        <f>C11/$C$40</f>
        <v/>
      </c>
    </row>
    <row r="12">
      <c r="B12" s="246" t="inlineStr">
        <is>
          <t>Эксплуатация машин основных</t>
        </is>
      </c>
      <c r="C12" s="308">
        <f>'Прил.5 Расчет СМР и ОБ'!J21</f>
        <v/>
      </c>
      <c r="D12" s="248">
        <f>C12/$C$24</f>
        <v/>
      </c>
      <c r="E12" s="248">
        <f>C12/$C$40</f>
        <v/>
      </c>
    </row>
    <row r="13">
      <c r="B13" s="246" t="inlineStr">
        <is>
          <t>Эксплуатация машин прочих</t>
        </is>
      </c>
      <c r="C13" s="308">
        <f>'Прил.5 Расчет СМР и ОБ'!J22</f>
        <v/>
      </c>
      <c r="D13" s="248">
        <f>C13/$C$24</f>
        <v/>
      </c>
      <c r="E13" s="248">
        <f>C13/$C$40</f>
        <v/>
      </c>
    </row>
    <row r="14">
      <c r="B14" s="246" t="inlineStr">
        <is>
          <t>ЭКСПЛУАТАЦИЯ МАШИН, ВСЕГО:</t>
        </is>
      </c>
      <c r="C14" s="308">
        <f>C13+C12</f>
        <v/>
      </c>
      <c r="D14" s="248">
        <f>C14/$C$24</f>
        <v/>
      </c>
      <c r="E14" s="248">
        <f>C14/$C$40</f>
        <v/>
      </c>
    </row>
    <row r="15">
      <c r="B15" s="246" t="inlineStr">
        <is>
          <t>в том числе зарплата машинистов</t>
        </is>
      </c>
      <c r="C15" s="308">
        <f>'Прил.5 Расчет СМР и ОБ'!J17</f>
        <v/>
      </c>
      <c r="D15" s="248">
        <f>C15/$C$24</f>
        <v/>
      </c>
      <c r="E15" s="248">
        <f>C15/$C$40</f>
        <v/>
      </c>
    </row>
    <row r="16">
      <c r="B16" s="246" t="inlineStr">
        <is>
          <t>Материалы основные</t>
        </is>
      </c>
      <c r="C16" s="308">
        <f>'Прил.5 Расчет СМР и ОБ'!J33</f>
        <v/>
      </c>
      <c r="D16" s="248">
        <f>C16/$C$24</f>
        <v/>
      </c>
      <c r="E16" s="248">
        <f>C16/$C$40</f>
        <v/>
      </c>
    </row>
    <row r="17">
      <c r="B17" s="246" t="inlineStr">
        <is>
          <t>Материалы прочие</t>
        </is>
      </c>
      <c r="C17" s="308">
        <f>'Прил.5 Расчет СМР и ОБ'!J37</f>
        <v/>
      </c>
      <c r="D17" s="248">
        <f>C17/$C$24</f>
        <v/>
      </c>
      <c r="E17" s="248">
        <f>C17/$C$40</f>
        <v/>
      </c>
      <c r="G17" s="449" t="n"/>
    </row>
    <row r="18">
      <c r="B18" s="246" t="inlineStr">
        <is>
          <t>МАТЕРИАЛЫ, ВСЕГО:</t>
        </is>
      </c>
      <c r="C18" s="308">
        <f>C17+C16</f>
        <v/>
      </c>
      <c r="D18" s="248">
        <f>C18/$C$24</f>
        <v/>
      </c>
      <c r="E18" s="248">
        <f>C18/$C$40</f>
        <v/>
      </c>
    </row>
    <row r="19">
      <c r="B19" s="246" t="inlineStr">
        <is>
          <t>ИТОГО</t>
        </is>
      </c>
      <c r="C19" s="308">
        <f>C18+C14+C11</f>
        <v/>
      </c>
      <c r="D19" s="248" t="n"/>
      <c r="E19" s="246" t="n"/>
    </row>
    <row r="20">
      <c r="B20" s="246" t="inlineStr">
        <is>
          <t>Сметная прибыль, руб.</t>
        </is>
      </c>
      <c r="C20" s="308">
        <f>ROUND(C21*(C11+C15),2)</f>
        <v/>
      </c>
      <c r="D20" s="248">
        <f>C20/$C$24</f>
        <v/>
      </c>
      <c r="E20" s="248">
        <f>C20/$C$40</f>
        <v/>
      </c>
    </row>
    <row r="21">
      <c r="B21" s="246" t="inlineStr">
        <is>
          <t>Сметная прибыль, %</t>
        </is>
      </c>
      <c r="C21" s="251">
        <f>'Прил.5 Расчет СМР и ОБ'!D41</f>
        <v/>
      </c>
      <c r="D21" s="248" t="n"/>
      <c r="E21" s="246" t="n"/>
    </row>
    <row r="22">
      <c r="B22" s="246" t="inlineStr">
        <is>
          <t>Накладные расходы, руб.</t>
        </is>
      </c>
      <c r="C22" s="308">
        <f>ROUND(C23*(C11+C15),2)</f>
        <v/>
      </c>
      <c r="D22" s="248">
        <f>C22/$C$24</f>
        <v/>
      </c>
      <c r="E22" s="248">
        <f>C22/$C$40</f>
        <v/>
      </c>
    </row>
    <row r="23">
      <c r="B23" s="246" t="inlineStr">
        <is>
          <t>Накладные расходы, %</t>
        </is>
      </c>
      <c r="C23" s="251">
        <f>'Прил.5 Расчет СМР и ОБ'!D40</f>
        <v/>
      </c>
      <c r="D23" s="248" t="n"/>
      <c r="E23" s="246" t="n"/>
    </row>
    <row r="24">
      <c r="B24" s="246" t="inlineStr">
        <is>
          <t>ВСЕГО СМР с НР и СП</t>
        </is>
      </c>
      <c r="C24" s="308">
        <f>C19+C20+C22</f>
        <v/>
      </c>
      <c r="D24" s="248">
        <f>C24/$C$24</f>
        <v/>
      </c>
      <c r="E24" s="248">
        <f>C24/$C$40</f>
        <v/>
      </c>
    </row>
    <row r="25" ht="25.5" customHeight="1" s="323">
      <c r="B25" s="246" t="inlineStr">
        <is>
          <t>ВСЕГО стоимость оборудования, в том числе</t>
        </is>
      </c>
      <c r="C25" s="308">
        <f>'Прил.5 Расчет СМР и ОБ'!J28</f>
        <v/>
      </c>
      <c r="D25" s="248" t="n"/>
      <c r="E25" s="248">
        <f>C25/$C$40</f>
        <v/>
      </c>
    </row>
    <row r="26" ht="25.5" customHeight="1" s="323">
      <c r="B26" s="246" t="inlineStr">
        <is>
          <t>стоимость оборудования технологического</t>
        </is>
      </c>
      <c r="C26" s="308">
        <f>'Прил.5 Расчет СМР и ОБ'!J29</f>
        <v/>
      </c>
      <c r="D26" s="248" t="n"/>
      <c r="E26" s="248">
        <f>C26/$C$40</f>
        <v/>
      </c>
    </row>
    <row r="27">
      <c r="B27" s="246" t="inlineStr">
        <is>
          <t>ИТОГО (СМР + ОБОРУДОВАНИЕ)</t>
        </is>
      </c>
      <c r="C27" s="250">
        <f>C24+C25</f>
        <v/>
      </c>
      <c r="D27" s="248" t="n"/>
      <c r="E27" s="248">
        <f>C27/$C$40</f>
        <v/>
      </c>
    </row>
    <row r="28" ht="33" customHeight="1" s="323">
      <c r="B28" s="246" t="inlineStr">
        <is>
          <t>ПРОЧ. ЗАТР., УЧТЕННЫЕ ПОКАЗАТЕЛЕМ,  в том числе</t>
        </is>
      </c>
      <c r="C28" s="246" t="n"/>
      <c r="D28" s="246" t="n"/>
      <c r="E28" s="246" t="n"/>
      <c r="F28" s="249" t="n"/>
    </row>
    <row r="29" ht="25.5" customHeight="1" s="323">
      <c r="B29" s="246" t="inlineStr">
        <is>
          <t>Временные здания и сооружения - 2,5%</t>
        </is>
      </c>
      <c r="C29" s="250">
        <f>ROUND(C24*2.5%,2)</f>
        <v/>
      </c>
      <c r="D29" s="246" t="n"/>
      <c r="E29" s="248">
        <f>C29/$C$40</f>
        <v/>
      </c>
    </row>
    <row r="30" ht="38.25" customHeight="1" s="323">
      <c r="B30" s="246" t="inlineStr">
        <is>
          <t>Дополнительные затраты при производстве строительно-монтажных работ в зимнее время - 2,1%</t>
        </is>
      </c>
      <c r="C30" s="250">
        <f>ROUND((C24+C29)*2.1%,2)</f>
        <v/>
      </c>
      <c r="D30" s="246" t="n"/>
      <c r="E30" s="248">
        <f>C30/$C$40</f>
        <v/>
      </c>
      <c r="F30" s="249" t="n"/>
    </row>
    <row r="31">
      <c r="B31" s="246" t="inlineStr">
        <is>
          <t>Пусконаладочные работы</t>
        </is>
      </c>
      <c r="C31" s="278" t="n">
        <v>0</v>
      </c>
      <c r="D31" s="246" t="n"/>
      <c r="E31" s="248">
        <f>C31/$C$40</f>
        <v/>
      </c>
    </row>
    <row r="32" ht="25.5" customHeight="1" s="323">
      <c r="B32" s="246" t="inlineStr">
        <is>
          <t>Затраты по перевозке работников к месту работы и обратно</t>
        </is>
      </c>
      <c r="C32" s="250">
        <f>ROUND(C27*0%,2)</f>
        <v/>
      </c>
      <c r="D32" s="246" t="n"/>
      <c r="E32" s="248">
        <f>C32/$C$40</f>
        <v/>
      </c>
    </row>
    <row r="33" ht="25.5" customHeight="1" s="323">
      <c r="B33" s="246" t="inlineStr">
        <is>
          <t>Затраты, связанные с осуществлением работ вахтовым методом</t>
        </is>
      </c>
      <c r="C33" s="250">
        <f>ROUND(C28*0%,2)</f>
        <v/>
      </c>
      <c r="D33" s="246" t="n"/>
      <c r="E33" s="248">
        <f>C33/$C$40</f>
        <v/>
      </c>
    </row>
    <row r="34" ht="51" customHeight="1" s="323">
      <c r="B34" s="246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50">
        <f>ROUND(C29*0%,2)</f>
        <v/>
      </c>
      <c r="D34" s="246" t="n"/>
      <c r="E34" s="248">
        <f>C34/$C$40</f>
        <v/>
      </c>
      <c r="H34" s="291" t="n"/>
    </row>
    <row r="35" ht="76.65000000000001" customHeight="1" s="323">
      <c r="B35" s="246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50">
        <f>ROUND(C30*0%,2)</f>
        <v/>
      </c>
      <c r="D35" s="246" t="n"/>
      <c r="E35" s="248">
        <f>C35/$C$40</f>
        <v/>
      </c>
    </row>
    <row r="36" ht="25.5" customHeight="1" s="323">
      <c r="B36" s="246" t="inlineStr">
        <is>
          <t>Строительный контроль и содержание службы заказчика - 2,14%</t>
        </is>
      </c>
      <c r="C36" s="250">
        <f>ROUND((C27+C32+C33+C34+C35+C29+C31+C30)*2.14%,2)</f>
        <v/>
      </c>
      <c r="D36" s="246" t="n"/>
      <c r="E36" s="248">
        <f>C36/$C$40</f>
        <v/>
      </c>
      <c r="G36" s="257" t="n"/>
      <c r="L36" s="249" t="n"/>
    </row>
    <row r="37">
      <c r="B37" s="246" t="inlineStr">
        <is>
          <t>Авторский надзор - 0,2%</t>
        </is>
      </c>
      <c r="C37" s="250">
        <f>ROUND((C27+C32+C33+C34+C35+C29+C31+C30)*0.2%,2)</f>
        <v/>
      </c>
      <c r="D37" s="246" t="n"/>
      <c r="E37" s="248">
        <f>C37/$C$40</f>
        <v/>
      </c>
      <c r="G37" s="169" t="n"/>
      <c r="L37" s="249" t="n"/>
    </row>
    <row r="38" ht="38.25" customHeight="1" s="323">
      <c r="B38" s="246" t="inlineStr">
        <is>
          <t>ИТОГО (СМР+ОБОРУДОВАНИЕ+ПРОЧ. ЗАТР., УЧТЕННЫЕ ПОКАЗАТЕЛЕМ)</t>
        </is>
      </c>
      <c r="C38" s="308">
        <f>C27+C32+C33+C34+C35+C29+C31+C30+C36+C37</f>
        <v/>
      </c>
      <c r="D38" s="246" t="n"/>
      <c r="E38" s="248">
        <f>C38/$C$40</f>
        <v/>
      </c>
    </row>
    <row r="39" ht="13.65" customHeight="1" s="323">
      <c r="B39" s="246" t="inlineStr">
        <is>
          <t>Непредвиденные расходы</t>
        </is>
      </c>
      <c r="C39" s="308">
        <f>ROUND(C38*3%,2)</f>
        <v/>
      </c>
      <c r="D39" s="246" t="n"/>
      <c r="E39" s="248">
        <f>C39/$C$38</f>
        <v/>
      </c>
    </row>
    <row r="40">
      <c r="B40" s="246" t="inlineStr">
        <is>
          <t>ВСЕГО:</t>
        </is>
      </c>
      <c r="C40" s="308">
        <f>C39+C38</f>
        <v/>
      </c>
      <c r="D40" s="246" t="n"/>
      <c r="E40" s="248">
        <f>C40/$C$40</f>
        <v/>
      </c>
    </row>
    <row r="41">
      <c r="B41" s="246" t="inlineStr">
        <is>
          <t>ИТОГО ПОКАЗАТЕЛЬ НА ЕД. ИЗМ.</t>
        </is>
      </c>
      <c r="C41" s="308">
        <f>C40/'Прил.5 Расчет СМР и ОБ'!E44</f>
        <v/>
      </c>
      <c r="D41" s="246" t="n"/>
      <c r="E41" s="246" t="n"/>
    </row>
    <row r="42">
      <c r="B42" s="310" t="n"/>
      <c r="C42" s="306" t="n"/>
      <c r="D42" s="306" t="n"/>
      <c r="E42" s="306" t="n"/>
    </row>
    <row r="43">
      <c r="B43" s="310" t="inlineStr">
        <is>
          <t>Составил ____________________________ А.Р. Маркова</t>
        </is>
      </c>
      <c r="C43" s="306" t="n"/>
      <c r="D43" s="306" t="n"/>
      <c r="E43" s="306" t="n"/>
    </row>
    <row r="44">
      <c r="B44" s="310" t="inlineStr">
        <is>
          <t xml:space="preserve">(должность, подпись, инициалы, фамилия) </t>
        </is>
      </c>
      <c r="C44" s="306" t="n"/>
      <c r="D44" s="306" t="n"/>
      <c r="E44" s="306" t="n"/>
    </row>
    <row r="45">
      <c r="B45" s="310" t="n"/>
      <c r="C45" s="306" t="n"/>
      <c r="D45" s="306" t="n"/>
      <c r="E45" s="306" t="n"/>
    </row>
    <row r="46">
      <c r="B46" s="310" t="inlineStr">
        <is>
          <t>Проверил ____________________________ А.В. Костянецкая</t>
        </is>
      </c>
      <c r="C46" s="306" t="n"/>
      <c r="D46" s="306" t="n"/>
      <c r="E46" s="306" t="n"/>
    </row>
    <row r="47">
      <c r="B47" s="369" t="inlineStr">
        <is>
          <t>(должность, подпись, инициалы, фамилия)</t>
        </is>
      </c>
      <c r="D47" s="306" t="n"/>
      <c r="E47" s="306" t="n"/>
    </row>
    <row r="49">
      <c r="B49" s="306" t="n"/>
      <c r="C49" s="306" t="n"/>
      <c r="D49" s="306" t="n"/>
      <c r="E49" s="306" t="n"/>
    </row>
    <row r="50">
      <c r="B50" s="306" t="n"/>
      <c r="C50" s="306" t="n"/>
      <c r="D50" s="306" t="n"/>
      <c r="E50" s="306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4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50"/>
  <sheetViews>
    <sheetView view="pageBreakPreview" topLeftCell="A22" workbookViewId="0">
      <selection activeCell="C46" sqref="C46"/>
    </sheetView>
  </sheetViews>
  <sheetFormatPr baseColWidth="8" defaultColWidth="9.109375" defaultRowHeight="14.4" outlineLevelRow="1"/>
  <cols>
    <col width="5.6640625" customWidth="1" style="313" min="1" max="1"/>
    <col width="22.6640625" customWidth="1" style="313" min="2" max="2"/>
    <col width="39.109375" customWidth="1" style="313" min="3" max="3"/>
    <col width="10.6640625" customWidth="1" style="313" min="4" max="4"/>
    <col width="12.6640625" customWidth="1" style="313" min="5" max="5"/>
    <col width="15" customWidth="1" style="313" min="6" max="6"/>
    <col width="13.33203125" customWidth="1" style="313" min="7" max="7"/>
    <col width="12.6640625" customWidth="1" style="313" min="8" max="8"/>
    <col width="13.88671875" customWidth="1" style="313" min="9" max="9"/>
    <col width="17.6640625" customWidth="1" style="313" min="10" max="10"/>
    <col width="10.88671875" customWidth="1" style="313" min="11" max="11"/>
    <col width="9.109375" customWidth="1" style="313" min="12" max="12"/>
    <col width="9.109375" customWidth="1" style="323" min="13" max="13"/>
  </cols>
  <sheetData>
    <row r="1" s="323">
      <c r="A1" s="313" t="n"/>
      <c r="B1" s="313" t="n"/>
      <c r="C1" s="313" t="n"/>
      <c r="D1" s="313" t="n"/>
      <c r="E1" s="313" t="n"/>
      <c r="F1" s="313" t="n"/>
      <c r="G1" s="313" t="n"/>
      <c r="H1" s="313" t="n"/>
      <c r="I1" s="313" t="n"/>
      <c r="J1" s="313" t="n"/>
      <c r="K1" s="313" t="n"/>
      <c r="L1" s="313" t="n"/>
      <c r="M1" s="313" t="n"/>
      <c r="N1" s="313" t="n"/>
    </row>
    <row r="2" ht="15.75" customHeight="1" s="323">
      <c r="A2" s="313" t="n"/>
      <c r="B2" s="313" t="n"/>
      <c r="C2" s="313" t="n"/>
      <c r="D2" s="313" t="n"/>
      <c r="E2" s="313" t="n"/>
      <c r="F2" s="313" t="n"/>
      <c r="G2" s="313" t="n"/>
      <c r="H2" s="384" t="inlineStr">
        <is>
          <t>Приложение №5</t>
        </is>
      </c>
      <c r="K2" s="313" t="n"/>
      <c r="L2" s="313" t="n"/>
      <c r="M2" s="313" t="n"/>
      <c r="N2" s="313" t="n"/>
    </row>
    <row r="3" s="323">
      <c r="A3" s="313" t="n"/>
      <c r="B3" s="313" t="n"/>
      <c r="C3" s="313" t="n"/>
      <c r="D3" s="313" t="n"/>
      <c r="E3" s="313" t="n"/>
      <c r="F3" s="313" t="n"/>
      <c r="G3" s="313" t="n"/>
      <c r="H3" s="313" t="n"/>
      <c r="I3" s="313" t="n"/>
      <c r="J3" s="313" t="n"/>
      <c r="K3" s="313" t="n"/>
      <c r="L3" s="313" t="n"/>
      <c r="M3" s="313" t="n"/>
      <c r="N3" s="313" t="n"/>
    </row>
    <row r="4" ht="12.75" customFormat="1" customHeight="1" s="306">
      <c r="A4" s="345" t="inlineStr">
        <is>
          <t>Расчет стоимости СМР и оборудования</t>
        </is>
      </c>
    </row>
    <row r="5" ht="12.75" customFormat="1" customHeight="1" s="306">
      <c r="A5" s="345" t="n"/>
      <c r="B5" s="345" t="n"/>
      <c r="C5" s="396" t="n"/>
      <c r="D5" s="345" t="n"/>
      <c r="E5" s="345" t="n"/>
      <c r="F5" s="345" t="n"/>
      <c r="G5" s="345" t="n"/>
      <c r="H5" s="345" t="n"/>
      <c r="I5" s="345" t="n"/>
      <c r="J5" s="345" t="n"/>
    </row>
    <row r="6" ht="12.75" customFormat="1" customHeight="1" s="306">
      <c r="A6" s="214" t="inlineStr">
        <is>
          <t>Наименование разрабатываемого показателя УНЦ</t>
        </is>
      </c>
      <c r="B6" s="213" t="n"/>
      <c r="C6" s="213" t="n"/>
      <c r="D6" s="388" t="inlineStr">
        <is>
          <t>Муфта концевая 6 кВ сечением 630 мм2.</t>
        </is>
      </c>
    </row>
    <row r="7" ht="12.75" customFormat="1" customHeight="1" s="306">
      <c r="A7" s="348" t="inlineStr">
        <is>
          <t>Единица измерения  — 1 ед</t>
        </is>
      </c>
      <c r="I7" s="354" t="n"/>
      <c r="J7" s="354" t="n"/>
    </row>
    <row r="8" ht="13.65" customFormat="1" customHeight="1" s="306">
      <c r="A8" s="348" t="n"/>
    </row>
    <row r="9" ht="13.2" customFormat="1" customHeight="1" s="306"/>
    <row r="10" ht="27" customHeight="1" s="323">
      <c r="A10" s="376" t="inlineStr">
        <is>
          <t>№ пп.</t>
        </is>
      </c>
      <c r="B10" s="376" t="inlineStr">
        <is>
          <t>Код ресурса</t>
        </is>
      </c>
      <c r="C10" s="376" t="inlineStr">
        <is>
          <t>Наименование</t>
        </is>
      </c>
      <c r="D10" s="376" t="inlineStr">
        <is>
          <t>Ед. изм.</t>
        </is>
      </c>
      <c r="E10" s="376" t="inlineStr">
        <is>
          <t>Кол-во единиц по проектным данным</t>
        </is>
      </c>
      <c r="F10" s="376" t="inlineStr">
        <is>
          <t>Сметная стоимость в ценах на 01.01.2000 (руб.)</t>
        </is>
      </c>
      <c r="G10" s="440" t="n"/>
      <c r="H10" s="376" t="inlineStr">
        <is>
          <t>Удельный вес, %</t>
        </is>
      </c>
      <c r="I10" s="376" t="inlineStr">
        <is>
          <t>Сметная стоимость в ценах на 01.01.2023 (руб.)</t>
        </is>
      </c>
      <c r="J10" s="440" t="n"/>
      <c r="K10" s="313" t="n"/>
      <c r="L10" s="313" t="n"/>
      <c r="M10" s="313" t="n"/>
      <c r="N10" s="313" t="n"/>
    </row>
    <row r="11" ht="28.5" customHeight="1" s="323">
      <c r="A11" s="442" t="n"/>
      <c r="B11" s="442" t="n"/>
      <c r="C11" s="442" t="n"/>
      <c r="D11" s="442" t="n"/>
      <c r="E11" s="442" t="n"/>
      <c r="F11" s="376" t="inlineStr">
        <is>
          <t>на ед. изм.</t>
        </is>
      </c>
      <c r="G11" s="376" t="inlineStr">
        <is>
          <t>общая</t>
        </is>
      </c>
      <c r="H11" s="442" t="n"/>
      <c r="I11" s="376" t="inlineStr">
        <is>
          <t>на ед. изм.</t>
        </is>
      </c>
      <c r="J11" s="376" t="inlineStr">
        <is>
          <t>общая</t>
        </is>
      </c>
      <c r="K11" s="313" t="n"/>
      <c r="L11" s="313" t="n"/>
      <c r="M11" s="313" t="n"/>
      <c r="N11" s="313" t="n"/>
    </row>
    <row r="12" s="323">
      <c r="A12" s="376" t="n">
        <v>1</v>
      </c>
      <c r="B12" s="376" t="n">
        <v>2</v>
      </c>
      <c r="C12" s="376" t="n">
        <v>3</v>
      </c>
      <c r="D12" s="376" t="n">
        <v>4</v>
      </c>
      <c r="E12" s="376" t="n">
        <v>5</v>
      </c>
      <c r="F12" s="376" t="n">
        <v>6</v>
      </c>
      <c r="G12" s="376" t="n">
        <v>7</v>
      </c>
      <c r="H12" s="376" t="n">
        <v>8</v>
      </c>
      <c r="I12" s="371" t="n">
        <v>9</v>
      </c>
      <c r="J12" s="371" t="n">
        <v>10</v>
      </c>
      <c r="K12" s="313" t="n"/>
      <c r="L12" s="313" t="n"/>
      <c r="M12" s="313" t="n"/>
      <c r="N12" s="313" t="n"/>
    </row>
    <row r="13">
      <c r="A13" s="376" t="n"/>
      <c r="B13" s="365" t="inlineStr">
        <is>
          <t>Затраты труда рабочих-строителей</t>
        </is>
      </c>
      <c r="C13" s="439" t="n"/>
      <c r="D13" s="439" t="n"/>
      <c r="E13" s="439" t="n"/>
      <c r="F13" s="439" t="n"/>
      <c r="G13" s="439" t="n"/>
      <c r="H13" s="440" t="n"/>
      <c r="I13" s="201" t="n"/>
      <c r="J13" s="201" t="n"/>
    </row>
    <row r="14" ht="25.5" customHeight="1" s="323">
      <c r="A14" s="376" t="n">
        <v>1</v>
      </c>
      <c r="B14" s="275" t="inlineStr">
        <is>
          <t>1-3-8</t>
        </is>
      </c>
      <c r="C14" s="375" t="inlineStr">
        <is>
          <t>Затраты труда рабочих-строителей среднего разряда (3,8)</t>
        </is>
      </c>
      <c r="D14" s="376" t="inlineStr">
        <is>
          <t>чел.-ч.</t>
        </is>
      </c>
      <c r="E14" s="450">
        <f>G14/F14</f>
        <v/>
      </c>
      <c r="F14" s="208" t="n">
        <v>9.4</v>
      </c>
      <c r="G14" s="208">
        <f>'Прил. 3'!H11</f>
        <v/>
      </c>
      <c r="H14" s="210">
        <f>G14/G15</f>
        <v/>
      </c>
      <c r="I14" s="208">
        <f>ФОТр.тек.!E13</f>
        <v/>
      </c>
      <c r="J14" s="208">
        <f>ROUND(I14*E14,2)</f>
        <v/>
      </c>
    </row>
    <row r="15" ht="25.5" customFormat="1" customHeight="1" s="313">
      <c r="A15" s="376" t="n"/>
      <c r="B15" s="376" t="n"/>
      <c r="C15" s="365" t="inlineStr">
        <is>
          <t>Итого по разделу "Затраты труда рабочих-строителей"</t>
        </is>
      </c>
      <c r="D15" s="376" t="inlineStr">
        <is>
          <t>чел.-ч.</t>
        </is>
      </c>
      <c r="E15" s="450">
        <f>SUM(E14:E14)</f>
        <v/>
      </c>
      <c r="F15" s="208" t="n"/>
      <c r="G15" s="208">
        <f>SUM(G14:G14)</f>
        <v/>
      </c>
      <c r="H15" s="379" t="n">
        <v>1</v>
      </c>
      <c r="I15" s="201" t="n"/>
      <c r="J15" s="208">
        <f>SUM(J14:J14)</f>
        <v/>
      </c>
    </row>
    <row r="16" ht="14.25" customFormat="1" customHeight="1" s="313">
      <c r="A16" s="376" t="n"/>
      <c r="B16" s="375" t="inlineStr">
        <is>
          <t>Затраты труда машинистов</t>
        </is>
      </c>
      <c r="C16" s="439" t="n"/>
      <c r="D16" s="439" t="n"/>
      <c r="E16" s="439" t="n"/>
      <c r="F16" s="439" t="n"/>
      <c r="G16" s="439" t="n"/>
      <c r="H16" s="440" t="n"/>
      <c r="I16" s="201" t="n"/>
      <c r="J16" s="201" t="n"/>
    </row>
    <row r="17" ht="14.25" customFormat="1" customHeight="1" s="313">
      <c r="A17" s="376" t="n">
        <v>2</v>
      </c>
      <c r="B17" s="376" t="n">
        <v>2</v>
      </c>
      <c r="C17" s="375" t="inlineStr">
        <is>
          <t>Затраты труда машинистов</t>
        </is>
      </c>
      <c r="D17" s="376" t="inlineStr">
        <is>
          <t>чел.-ч.</t>
        </is>
      </c>
      <c r="E17" s="450" t="n">
        <v>12.06</v>
      </c>
      <c r="F17" s="208">
        <f>G17/E17</f>
        <v/>
      </c>
      <c r="G17" s="208">
        <f>'Прил. 3'!H13</f>
        <v/>
      </c>
      <c r="H17" s="379" t="n">
        <v>1</v>
      </c>
      <c r="I17" s="208">
        <f>ROUND(F17*'Прил. 10'!D11,2)</f>
        <v/>
      </c>
      <c r="J17" s="208">
        <f>ROUND(I17*E17,2)</f>
        <v/>
      </c>
    </row>
    <row r="18" ht="14.25" customFormat="1" customHeight="1" s="313">
      <c r="A18" s="376" t="n"/>
      <c r="B18" s="365" t="inlineStr">
        <is>
          <t>Машины и механизмы</t>
        </is>
      </c>
      <c r="C18" s="439" t="n"/>
      <c r="D18" s="439" t="n"/>
      <c r="E18" s="439" t="n"/>
      <c r="F18" s="439" t="n"/>
      <c r="G18" s="439" t="n"/>
      <c r="H18" s="440" t="n"/>
      <c r="I18" s="201" t="n"/>
      <c r="J18" s="201" t="n"/>
    </row>
    <row r="19" ht="14.25" customFormat="1" customHeight="1" s="313">
      <c r="A19" s="376" t="n"/>
      <c r="B19" s="375" t="inlineStr">
        <is>
          <t>Основные машины и механизмы</t>
        </is>
      </c>
      <c r="C19" s="439" t="n"/>
      <c r="D19" s="439" t="n"/>
      <c r="E19" s="439" t="n"/>
      <c r="F19" s="439" t="n"/>
      <c r="G19" s="439" t="n"/>
      <c r="H19" s="440" t="n"/>
      <c r="I19" s="201" t="n"/>
      <c r="J19" s="201" t="n"/>
    </row>
    <row r="20" ht="14.25" customFormat="1" customHeight="1" s="313">
      <c r="A20" s="376" t="n">
        <v>3</v>
      </c>
      <c r="B20" s="277" t="inlineStr">
        <is>
          <t>91.06.09-001</t>
        </is>
      </c>
      <c r="C20" s="263" t="inlineStr">
        <is>
          <t>Вышки телескопические 25 м</t>
        </is>
      </c>
      <c r="D20" s="376" t="inlineStr">
        <is>
          <t>маш.час</t>
        </is>
      </c>
      <c r="E20" s="451" t="n">
        <v>12.06</v>
      </c>
      <c r="F20" s="284" t="n">
        <v>142.7</v>
      </c>
      <c r="G20" s="208">
        <f>ROUND(E20*F20,2)</f>
        <v/>
      </c>
      <c r="H20" s="210">
        <f>G20/$G$23</f>
        <v/>
      </c>
      <c r="I20" s="208">
        <f>ROUND(F20*'Прил. 10'!$D$12,2)</f>
        <v/>
      </c>
      <c r="J20" s="208">
        <f>ROUND(I20*E20,2)</f>
        <v/>
      </c>
    </row>
    <row r="21" ht="14.25" customFormat="1" customHeight="1" s="313">
      <c r="A21" s="376" t="n"/>
      <c r="B21" s="376" t="n"/>
      <c r="C21" s="375" t="inlineStr">
        <is>
          <t>Итого основные машины и механизмы</t>
        </is>
      </c>
      <c r="D21" s="376" t="n"/>
      <c r="E21" s="450" t="n"/>
      <c r="F21" s="208" t="n"/>
      <c r="G21" s="208">
        <f>SUM(G20:G20)</f>
        <v/>
      </c>
      <c r="H21" s="379">
        <f>G21/G23</f>
        <v/>
      </c>
      <c r="I21" s="202" t="n"/>
      <c r="J21" s="208">
        <f>SUM(J20:J20)</f>
        <v/>
      </c>
    </row>
    <row r="22" ht="14.25" customFormat="1" customHeight="1" s="313">
      <c r="A22" s="376" t="n"/>
      <c r="B22" s="376" t="n"/>
      <c r="C22" s="375" t="inlineStr">
        <is>
          <t>Итого прочие машины и механизмы</t>
        </is>
      </c>
      <c r="D22" s="376" t="n"/>
      <c r="E22" s="377" t="n"/>
      <c r="F22" s="208" t="n"/>
      <c r="G22" s="202" t="n">
        <v>0</v>
      </c>
      <c r="H22" s="210">
        <f>G22/G23</f>
        <v/>
      </c>
      <c r="I22" s="208" t="n"/>
      <c r="J22" s="208" t="n">
        <v>0</v>
      </c>
    </row>
    <row r="23" ht="25.5" customFormat="1" customHeight="1" s="313">
      <c r="A23" s="376" t="n"/>
      <c r="B23" s="376" t="n"/>
      <c r="C23" s="365" t="inlineStr">
        <is>
          <t>Итого по разделу «Машины и механизмы»</t>
        </is>
      </c>
      <c r="D23" s="376" t="n"/>
      <c r="E23" s="377" t="n"/>
      <c r="F23" s="208" t="n"/>
      <c r="G23" s="208">
        <f>G22+G21</f>
        <v/>
      </c>
      <c r="H23" s="195" t="n">
        <v>1</v>
      </c>
      <c r="I23" s="196" t="n"/>
      <c r="J23" s="222">
        <f>J22+J21</f>
        <v/>
      </c>
    </row>
    <row r="24" ht="14.25" customFormat="1" customHeight="1" s="313">
      <c r="A24" s="376" t="n"/>
      <c r="B24" s="365" t="inlineStr">
        <is>
          <t>Оборудование</t>
        </is>
      </c>
      <c r="C24" s="439" t="n"/>
      <c r="D24" s="439" t="n"/>
      <c r="E24" s="439" t="n"/>
      <c r="F24" s="439" t="n"/>
      <c r="G24" s="439" t="n"/>
      <c r="H24" s="440" t="n"/>
      <c r="I24" s="201" t="n"/>
      <c r="J24" s="201" t="n"/>
    </row>
    <row r="25">
      <c r="A25" s="376" t="n"/>
      <c r="B25" s="375" t="inlineStr">
        <is>
          <t>Основное оборудование</t>
        </is>
      </c>
      <c r="C25" s="439" t="n"/>
      <c r="D25" s="439" t="n"/>
      <c r="E25" s="439" t="n"/>
      <c r="F25" s="439" t="n"/>
      <c r="G25" s="439" t="n"/>
      <c r="H25" s="440" t="n"/>
      <c r="I25" s="201" t="n"/>
      <c r="J25" s="201" t="n"/>
      <c r="K25" s="313" t="n"/>
      <c r="L25" s="313" t="n"/>
    </row>
    <row r="26">
      <c r="A26" s="376" t="n"/>
      <c r="B26" s="376" t="n"/>
      <c r="C26" s="375" t="inlineStr">
        <is>
          <t>Итого основное оборудование</t>
        </is>
      </c>
      <c r="D26" s="376" t="n"/>
      <c r="E26" s="452" t="n"/>
      <c r="F26" s="378" t="n"/>
      <c r="G26" s="208" t="n">
        <v>0</v>
      </c>
      <c r="H26" s="210" t="n">
        <v>0</v>
      </c>
      <c r="I26" s="202" t="n"/>
      <c r="J26" s="208" t="n">
        <v>0</v>
      </c>
      <c r="K26" s="313" t="n"/>
      <c r="L26" s="313" t="n"/>
    </row>
    <row r="27">
      <c r="A27" s="376" t="n"/>
      <c r="B27" s="376" t="n"/>
      <c r="C27" s="375" t="inlineStr">
        <is>
          <t>Итого прочее оборудование</t>
        </is>
      </c>
      <c r="D27" s="376" t="n"/>
      <c r="E27" s="450" t="n"/>
      <c r="F27" s="378" t="n"/>
      <c r="G27" s="208" t="n">
        <v>0</v>
      </c>
      <c r="H27" s="210" t="n">
        <v>0</v>
      </c>
      <c r="I27" s="202" t="n"/>
      <c r="J27" s="208" t="n">
        <v>0</v>
      </c>
      <c r="K27" s="313" t="n"/>
      <c r="L27" s="313" t="n"/>
    </row>
    <row r="28">
      <c r="A28" s="376" t="n"/>
      <c r="B28" s="376" t="n"/>
      <c r="C28" s="365" t="inlineStr">
        <is>
          <t>Итого по разделу «Оборудование»</t>
        </is>
      </c>
      <c r="D28" s="376" t="n"/>
      <c r="E28" s="377" t="n"/>
      <c r="F28" s="378" t="n"/>
      <c r="G28" s="208">
        <f>G26+G27</f>
        <v/>
      </c>
      <c r="H28" s="210" t="n">
        <v>0</v>
      </c>
      <c r="I28" s="202" t="n"/>
      <c r="J28" s="208">
        <f>J27+J26</f>
        <v/>
      </c>
      <c r="K28" s="313" t="n"/>
      <c r="L28" s="313" t="n"/>
    </row>
    <row r="29" ht="25.5" customHeight="1" s="323">
      <c r="A29" s="376" t="n"/>
      <c r="B29" s="376" t="n"/>
      <c r="C29" s="375" t="inlineStr">
        <is>
          <t>в том числе технологическое оборудование</t>
        </is>
      </c>
      <c r="D29" s="376" t="n"/>
      <c r="E29" s="452" t="n"/>
      <c r="F29" s="378" t="n"/>
      <c r="G29" s="208">
        <f>'Прил.6 Расчет ОБ'!G12</f>
        <v/>
      </c>
      <c r="H29" s="379" t="n"/>
      <c r="I29" s="202" t="n"/>
      <c r="J29" s="208">
        <f>J28</f>
        <v/>
      </c>
      <c r="K29" s="313" t="n"/>
      <c r="L29" s="313" t="n"/>
    </row>
    <row r="30" ht="14.25" customFormat="1" customHeight="1" s="313">
      <c r="A30" s="376" t="n"/>
      <c r="B30" s="365" t="inlineStr">
        <is>
          <t>Материалы</t>
        </is>
      </c>
      <c r="C30" s="439" t="n"/>
      <c r="D30" s="439" t="n"/>
      <c r="E30" s="439" t="n"/>
      <c r="F30" s="439" t="n"/>
      <c r="G30" s="439" t="n"/>
      <c r="H30" s="440" t="n"/>
      <c r="I30" s="201" t="n"/>
      <c r="J30" s="201" t="n"/>
    </row>
    <row r="31" ht="14.25" customFormat="1" customHeight="1" s="313">
      <c r="A31" s="371" t="n"/>
      <c r="B31" s="370" t="inlineStr">
        <is>
          <t>Основные материалы</t>
        </is>
      </c>
      <c r="C31" s="453" t="n"/>
      <c r="D31" s="453" t="n"/>
      <c r="E31" s="453" t="n"/>
      <c r="F31" s="453" t="n"/>
      <c r="G31" s="453" t="n"/>
      <c r="H31" s="454" t="n"/>
      <c r="I31" s="216" t="n"/>
      <c r="J31" s="216" t="n"/>
    </row>
    <row r="32" ht="14.25" customFormat="1" customHeight="1" s="313">
      <c r="A32" s="376" t="n">
        <v>6</v>
      </c>
      <c r="B32" s="376" t="inlineStr">
        <is>
          <t>БЦ.91.33</t>
        </is>
      </c>
      <c r="C32" s="263" t="inlineStr">
        <is>
          <t>Муфта концевая 6 кВ сечением 630 мм2</t>
        </is>
      </c>
      <c r="D32" s="376" t="inlineStr">
        <is>
          <t>шт</t>
        </is>
      </c>
      <c r="E32" s="452" t="n">
        <v>6</v>
      </c>
      <c r="F32" s="378">
        <f>ROUND(I32/'Прил. 10'!$D$13,2)</f>
        <v/>
      </c>
      <c r="G32" s="208">
        <f>ROUND(E32*F32,2)</f>
        <v/>
      </c>
      <c r="H32" s="210">
        <f>G32/$G$38</f>
        <v/>
      </c>
      <c r="I32" s="208" t="n">
        <v>4060.8</v>
      </c>
      <c r="J32" s="208">
        <f>ROUND(I32*E32,2)</f>
        <v/>
      </c>
    </row>
    <row r="33" ht="14.25" customFormat="1" customHeight="1" s="313">
      <c r="A33" s="387" t="n"/>
      <c r="B33" s="218" t="n"/>
      <c r="C33" s="280" t="inlineStr">
        <is>
          <t>Итого основные материалы</t>
        </is>
      </c>
      <c r="D33" s="387" t="n"/>
      <c r="E33" s="455" t="n"/>
      <c r="F33" s="222" t="n"/>
      <c r="G33" s="222">
        <f>SUM(G32:G32)</f>
        <v/>
      </c>
      <c r="H33" s="210">
        <f>G33/$G$38</f>
        <v/>
      </c>
      <c r="I33" s="208" t="n"/>
      <c r="J33" s="222">
        <f>SUM(J32:J32)</f>
        <v/>
      </c>
    </row>
    <row r="34" outlineLevel="1" ht="14.25" customFormat="1" customHeight="1" s="313">
      <c r="A34" s="376" t="n">
        <v>7</v>
      </c>
      <c r="B34" s="277" t="inlineStr">
        <is>
          <t>01.3.01.01-0001</t>
        </is>
      </c>
      <c r="C34" s="263" t="inlineStr">
        <is>
          <t>Бензин авиационный Б-70</t>
        </is>
      </c>
      <c r="D34" s="394" t="inlineStr">
        <is>
          <t>т</t>
        </is>
      </c>
      <c r="E34" s="451" t="n">
        <v>0.0008</v>
      </c>
      <c r="F34" s="261" t="n">
        <v>4488.4</v>
      </c>
      <c r="G34" s="208">
        <f>ROUND(E34*F34,2)</f>
        <v/>
      </c>
      <c r="H34" s="210">
        <f>G34/$G$38</f>
        <v/>
      </c>
      <c r="I34" s="208">
        <f>ROUND(F34*'Прил. 10'!$D$13,2)</f>
        <v/>
      </c>
      <c r="J34" s="208">
        <f>ROUND(I34*E34,2)</f>
        <v/>
      </c>
    </row>
    <row r="35" outlineLevel="1" ht="14.25" customFormat="1" customHeight="1" s="313">
      <c r="A35" s="376" t="n">
        <v>8</v>
      </c>
      <c r="B35" s="277" t="inlineStr">
        <is>
          <t>01.7.06.07-0002</t>
        </is>
      </c>
      <c r="C35" s="263" t="inlineStr">
        <is>
          <t>Лента монтажная, тип ЛМ-5</t>
        </is>
      </c>
      <c r="D35" s="394" t="inlineStr">
        <is>
          <t>10 м</t>
        </is>
      </c>
      <c r="E35" s="451" t="n">
        <v>0.048</v>
      </c>
      <c r="F35" s="261" t="n">
        <v>6.9</v>
      </c>
      <c r="G35" s="208">
        <f>ROUND(E35*F35,2)</f>
        <v/>
      </c>
      <c r="H35" s="210">
        <f>G35/$G$38</f>
        <v/>
      </c>
      <c r="I35" s="208">
        <f>ROUND(F35*'Прил. 10'!$D$13,2)</f>
        <v/>
      </c>
      <c r="J35" s="208">
        <f>ROUND(I35*E35,2)</f>
        <v/>
      </c>
    </row>
    <row r="36" outlineLevel="1" ht="14.25" customFormat="1" customHeight="1" s="313">
      <c r="A36" s="376" t="n">
        <v>9</v>
      </c>
      <c r="B36" s="277" t="inlineStr">
        <is>
          <t>01.3.01.05-0009</t>
        </is>
      </c>
      <c r="C36" s="263" t="inlineStr">
        <is>
          <t>Парафин нефтяной твердый Т-1</t>
        </is>
      </c>
      <c r="D36" s="394" t="inlineStr">
        <is>
          <t>т</t>
        </is>
      </c>
      <c r="E36" s="451" t="n">
        <v>2e-05</v>
      </c>
      <c r="F36" s="261" t="n">
        <v>8105.71</v>
      </c>
      <c r="G36" s="208">
        <f>ROUND(E36*F36,2)</f>
        <v/>
      </c>
      <c r="H36" s="210">
        <f>G36/$G$38</f>
        <v/>
      </c>
      <c r="I36" s="208">
        <f>ROUND(F36*'Прил. 10'!$D$13,2)</f>
        <v/>
      </c>
      <c r="J36" s="208">
        <f>ROUND(I36*E36,2)</f>
        <v/>
      </c>
    </row>
    <row r="37" ht="14.25" customFormat="1" customHeight="1" s="313">
      <c r="A37" s="387" t="n"/>
      <c r="B37" s="387" t="n"/>
      <c r="C37" s="280" t="inlineStr">
        <is>
          <t>Итого прочие материалы</t>
        </is>
      </c>
      <c r="D37" s="387" t="n"/>
      <c r="E37" s="455" t="n"/>
      <c r="F37" s="281" t="n"/>
      <c r="G37" s="222">
        <f>SUM(G34:G36)</f>
        <v/>
      </c>
      <c r="H37" s="210">
        <f>G37/$G$38</f>
        <v/>
      </c>
      <c r="I37" s="208" t="n"/>
      <c r="J37" s="208">
        <f>SUM(J34:J36)</f>
        <v/>
      </c>
    </row>
    <row r="38" ht="14.25" customFormat="1" customHeight="1" s="313">
      <c r="A38" s="376" t="n"/>
      <c r="B38" s="376" t="n"/>
      <c r="C38" s="365" t="inlineStr">
        <is>
          <t>Итого по разделу «Материалы»</t>
        </is>
      </c>
      <c r="D38" s="376" t="n"/>
      <c r="E38" s="377" t="n"/>
      <c r="F38" s="378" t="n"/>
      <c r="G38" s="208">
        <f>G33+G37</f>
        <v/>
      </c>
      <c r="H38" s="379">
        <f>G38/$G$38</f>
        <v/>
      </c>
      <c r="I38" s="208" t="n"/>
      <c r="J38" s="208">
        <f>J33+J37</f>
        <v/>
      </c>
    </row>
    <row r="39" ht="14.25" customFormat="1" customHeight="1" s="313">
      <c r="A39" s="376" t="n"/>
      <c r="B39" s="376" t="n"/>
      <c r="C39" s="375" t="inlineStr">
        <is>
          <t>ИТОГО ПО РМ</t>
        </is>
      </c>
      <c r="D39" s="376" t="n"/>
      <c r="E39" s="377" t="n"/>
      <c r="F39" s="378" t="n"/>
      <c r="G39" s="208">
        <f>G15+G23+G38</f>
        <v/>
      </c>
      <c r="H39" s="379" t="n"/>
      <c r="I39" s="208" t="n"/>
      <c r="J39" s="208">
        <f>J15+J23+J38</f>
        <v/>
      </c>
    </row>
    <row r="40" ht="14.25" customFormat="1" customHeight="1" s="313">
      <c r="A40" s="376" t="n"/>
      <c r="B40" s="376" t="n"/>
      <c r="C40" s="375" t="inlineStr">
        <is>
          <t>Накладные расходы</t>
        </is>
      </c>
      <c r="D40" s="204">
        <f>ROUND(G40/(G$17+$G$15),2)</f>
        <v/>
      </c>
      <c r="E40" s="377" t="n"/>
      <c r="F40" s="378" t="n"/>
      <c r="G40" s="208" t="n">
        <v>290.32</v>
      </c>
      <c r="H40" s="379" t="n"/>
      <c r="I40" s="208" t="n"/>
      <c r="J40" s="208">
        <f>ROUND(D40*(J15+J17),2)</f>
        <v/>
      </c>
    </row>
    <row r="41" ht="14.25" customFormat="1" customHeight="1" s="313">
      <c r="A41" s="376" t="n"/>
      <c r="B41" s="376" t="n"/>
      <c r="C41" s="375" t="inlineStr">
        <is>
          <t>Сметная прибыль</t>
        </is>
      </c>
      <c r="D41" s="204">
        <f>ROUND(G41/(G$15+G$17),2)</f>
        <v/>
      </c>
      <c r="E41" s="377" t="n"/>
      <c r="F41" s="378" t="n"/>
      <c r="G41" s="208" t="n">
        <v>152.64</v>
      </c>
      <c r="H41" s="379" t="n"/>
      <c r="I41" s="208" t="n"/>
      <c r="J41" s="208">
        <f>ROUND(D41*(J15+J17),2)</f>
        <v/>
      </c>
    </row>
    <row r="42" ht="14.25" customFormat="1" customHeight="1" s="313">
      <c r="A42" s="376" t="n"/>
      <c r="B42" s="376" t="n"/>
      <c r="C42" s="375" t="inlineStr">
        <is>
          <t>Итого СМР (с НР и СП)</t>
        </is>
      </c>
      <c r="D42" s="376" t="n"/>
      <c r="E42" s="377" t="n"/>
      <c r="F42" s="378" t="n"/>
      <c r="G42" s="208">
        <f>G15+G23+G38+G40+G41</f>
        <v/>
      </c>
      <c r="H42" s="379" t="n"/>
      <c r="I42" s="208" t="n"/>
      <c r="J42" s="208">
        <f>J15+J23+J38+J40+J41</f>
        <v/>
      </c>
    </row>
    <row r="43" ht="14.25" customFormat="1" customHeight="1" s="313">
      <c r="A43" s="376" t="n"/>
      <c r="B43" s="376" t="n"/>
      <c r="C43" s="375" t="inlineStr">
        <is>
          <t>ВСЕГО СМР + ОБОРУДОВАНИЕ</t>
        </is>
      </c>
      <c r="D43" s="376" t="n"/>
      <c r="E43" s="377" t="n"/>
      <c r="F43" s="378" t="n"/>
      <c r="G43" s="208">
        <f>G42+G28</f>
        <v/>
      </c>
      <c r="H43" s="379" t="n"/>
      <c r="I43" s="208" t="n"/>
      <c r="J43" s="208">
        <f>J42+J28</f>
        <v/>
      </c>
    </row>
    <row r="44" ht="34.5" customFormat="1" customHeight="1" s="313">
      <c r="A44" s="376" t="n"/>
      <c r="B44" s="376" t="n"/>
      <c r="C44" s="375" t="inlineStr">
        <is>
          <t>ИТОГО ПОКАЗАТЕЛЬ НА ЕД. ИЗМ.</t>
        </is>
      </c>
      <c r="D44" s="376" t="inlineStr">
        <is>
          <t>1 ед</t>
        </is>
      </c>
      <c r="E44" s="452" t="n">
        <v>1</v>
      </c>
      <c r="F44" s="378" t="n"/>
      <c r="G44" s="208">
        <f>G43/E44</f>
        <v/>
      </c>
      <c r="H44" s="379" t="n"/>
      <c r="I44" s="208" t="n"/>
      <c r="J44" s="208">
        <f>J43/E44</f>
        <v/>
      </c>
    </row>
    <row r="46" ht="14.25" customFormat="1" customHeight="1" s="313">
      <c r="A46" s="306" t="inlineStr">
        <is>
          <t>Составил ______________________    А.Р. Маркова</t>
        </is>
      </c>
    </row>
    <row r="47" ht="14.25" customFormat="1" customHeight="1" s="313">
      <c r="A47" s="314" t="inlineStr">
        <is>
          <t xml:space="preserve">                         (подпись, инициалы, фамилия)</t>
        </is>
      </c>
    </row>
    <row r="48" ht="14.25" customFormat="1" customHeight="1" s="313">
      <c r="A48" s="306" t="n"/>
    </row>
    <row r="49" ht="14.25" customFormat="1" customHeight="1" s="313">
      <c r="A49" s="306" t="inlineStr">
        <is>
          <t>Проверил ______________________        А.В. Костянецкая</t>
        </is>
      </c>
    </row>
    <row r="50" ht="14.25" customFormat="1" customHeight="1" s="313">
      <c r="A50" s="314" t="inlineStr">
        <is>
          <t xml:space="preserve">                        (подпись, инициалы, фамилия)</t>
        </is>
      </c>
    </row>
  </sheetData>
  <mergeCells count="21">
    <mergeCell ref="F10:G10"/>
    <mergeCell ref="B24:H24"/>
    <mergeCell ref="A4:J4"/>
    <mergeCell ref="B30:H30"/>
    <mergeCell ref="H2:J2"/>
    <mergeCell ref="C10:C11"/>
    <mergeCell ref="E10:E11"/>
    <mergeCell ref="A7:H7"/>
    <mergeCell ref="B16:H16"/>
    <mergeCell ref="B25:H25"/>
    <mergeCell ref="B10:B11"/>
    <mergeCell ref="B31:H31"/>
    <mergeCell ref="B18:H18"/>
    <mergeCell ref="D6:J6"/>
    <mergeCell ref="A10:A11"/>
    <mergeCell ref="A8:H8"/>
    <mergeCell ref="D10:D11"/>
    <mergeCell ref="B13:H13"/>
    <mergeCell ref="I10:J10"/>
    <mergeCell ref="B19:H19"/>
    <mergeCell ref="H10:H11"/>
  </mergeCells>
  <pageMargins left="0.7086614173228347" right="0.7086614173228347" top="0.7480314960629921" bottom="0.7480314960629921" header="0.3149606299212598" footer="0.3149606299212598"/>
  <pageSetup orientation="landscape" paperSize="9" scale="80" fitToHeight="0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topLeftCell="A13" workbookViewId="0">
      <selection activeCell="C15" sqref="C15"/>
    </sheetView>
  </sheetViews>
  <sheetFormatPr baseColWidth="8" defaultRowHeight="14.4"/>
  <cols>
    <col width="5.6640625" customWidth="1" style="323" min="1" max="1"/>
    <col width="17.6640625" customWidth="1" style="323" min="2" max="2"/>
    <col width="39.109375" customWidth="1" style="323" min="3" max="3"/>
    <col width="10.6640625" customWidth="1" style="323" min="4" max="4"/>
    <col width="13.88671875" customWidth="1" style="323" min="5" max="5"/>
    <col width="13.33203125" customWidth="1" style="323" min="6" max="6"/>
    <col width="14.109375" customWidth="1" style="323" min="7" max="7"/>
  </cols>
  <sheetData>
    <row r="1">
      <c r="A1" s="389" t="inlineStr">
        <is>
          <t>Приложение №6</t>
        </is>
      </c>
    </row>
    <row r="2" ht="21.75" customHeight="1" s="323">
      <c r="A2" s="389" t="n"/>
      <c r="B2" s="389" t="n"/>
      <c r="C2" s="389" t="n"/>
      <c r="D2" s="389" t="n"/>
      <c r="E2" s="389" t="n"/>
      <c r="F2" s="389" t="n"/>
      <c r="G2" s="389" t="n"/>
    </row>
    <row r="3">
      <c r="A3" s="345" t="inlineStr">
        <is>
          <t>Расчет стоимости оборудования</t>
        </is>
      </c>
    </row>
    <row r="4" ht="25.5" customHeight="1" s="323">
      <c r="A4" s="348" t="inlineStr">
        <is>
          <t>Наименование разрабатываемого показателя УНЦ — Муфта концевая 6 кВ сечением 630 мм2.</t>
        </is>
      </c>
    </row>
    <row r="5">
      <c r="A5" s="306" t="n"/>
      <c r="B5" s="306" t="n"/>
      <c r="C5" s="306" t="n"/>
      <c r="D5" s="306" t="n"/>
      <c r="E5" s="306" t="n"/>
      <c r="F5" s="306" t="n"/>
      <c r="G5" s="306" t="n"/>
    </row>
    <row r="6" ht="30.15" customHeight="1" s="323">
      <c r="A6" s="394" t="inlineStr">
        <is>
          <t>№ пп.</t>
        </is>
      </c>
      <c r="B6" s="394" t="inlineStr">
        <is>
          <t>Код ресурса</t>
        </is>
      </c>
      <c r="C6" s="394" t="inlineStr">
        <is>
          <t>Наименование</t>
        </is>
      </c>
      <c r="D6" s="394" t="inlineStr">
        <is>
          <t>Ед. изм.</t>
        </is>
      </c>
      <c r="E6" s="376" t="inlineStr">
        <is>
          <t>Кол-во единиц по проектным данным</t>
        </is>
      </c>
      <c r="F6" s="394" t="inlineStr">
        <is>
          <t>Сметная стоимость в ценах на 01.01.2000 (руб.)</t>
        </is>
      </c>
      <c r="G6" s="440" t="n"/>
    </row>
    <row r="7">
      <c r="A7" s="442" t="n"/>
      <c r="B7" s="442" t="n"/>
      <c r="C7" s="442" t="n"/>
      <c r="D7" s="442" t="n"/>
      <c r="E7" s="442" t="n"/>
      <c r="F7" s="376" t="inlineStr">
        <is>
          <t>на ед. изм.</t>
        </is>
      </c>
      <c r="G7" s="376" t="inlineStr">
        <is>
          <t>общая</t>
        </is>
      </c>
    </row>
    <row r="8">
      <c r="A8" s="376" t="n">
        <v>1</v>
      </c>
      <c r="B8" s="376" t="n">
        <v>2</v>
      </c>
      <c r="C8" s="376" t="n">
        <v>3</v>
      </c>
      <c r="D8" s="376" t="n">
        <v>4</v>
      </c>
      <c r="E8" s="376" t="n">
        <v>5</v>
      </c>
      <c r="F8" s="376" t="n">
        <v>6</v>
      </c>
      <c r="G8" s="376" t="n">
        <v>7</v>
      </c>
    </row>
    <row r="9" ht="15" customHeight="1" s="323">
      <c r="A9" s="246" t="n"/>
      <c r="B9" s="375" t="inlineStr">
        <is>
          <t>ИНЖЕНЕРНОЕ ОБОРУДОВАНИЕ</t>
        </is>
      </c>
      <c r="C9" s="439" t="n"/>
      <c r="D9" s="439" t="n"/>
      <c r="E9" s="439" t="n"/>
      <c r="F9" s="439" t="n"/>
      <c r="G9" s="440" t="n"/>
    </row>
    <row r="10" ht="27" customHeight="1" s="323">
      <c r="A10" s="376" t="n"/>
      <c r="B10" s="365" t="n"/>
      <c r="C10" s="375" t="inlineStr">
        <is>
          <t>ИТОГО ИНЖЕНЕРНОЕ ОБОРУДОВАНИЕ</t>
        </is>
      </c>
      <c r="D10" s="365" t="n"/>
      <c r="E10" s="148" t="n"/>
      <c r="F10" s="378" t="n"/>
      <c r="G10" s="378" t="n">
        <v>0</v>
      </c>
    </row>
    <row r="11">
      <c r="A11" s="376" t="n"/>
      <c r="B11" s="375" t="inlineStr">
        <is>
          <t>ТЕХНОЛОГИЧЕСКОЕ ОБОРУДОВАНИЕ</t>
        </is>
      </c>
      <c r="C11" s="439" t="n"/>
      <c r="D11" s="439" t="n"/>
      <c r="E11" s="439" t="n"/>
      <c r="F11" s="439" t="n"/>
      <c r="G11" s="440" t="n"/>
    </row>
    <row r="12" ht="25.5" customHeight="1" s="323">
      <c r="A12" s="376" t="n"/>
      <c r="B12" s="375" t="n"/>
      <c r="C12" s="375" t="inlineStr">
        <is>
          <t>ИТОГО ТЕХНОЛОГИЧЕСКОЕ ОБОРУДОВАНИЕ</t>
        </is>
      </c>
      <c r="D12" s="375" t="n"/>
      <c r="E12" s="393" t="n"/>
      <c r="F12" s="378" t="n"/>
      <c r="G12" s="208" t="n">
        <v>0</v>
      </c>
    </row>
    <row r="13" ht="19.5" customHeight="1" s="323">
      <c r="A13" s="376" t="n"/>
      <c r="B13" s="375" t="n"/>
      <c r="C13" s="375" t="inlineStr">
        <is>
          <t>Всего по разделу «Оборудование»</t>
        </is>
      </c>
      <c r="D13" s="375" t="n"/>
      <c r="E13" s="393" t="n"/>
      <c r="F13" s="378" t="n"/>
      <c r="G13" s="208">
        <f>G10+G12</f>
        <v/>
      </c>
    </row>
    <row r="14">
      <c r="A14" s="311" t="n"/>
      <c r="B14" s="312" t="n"/>
      <c r="C14" s="311" t="n"/>
      <c r="D14" s="311" t="n"/>
      <c r="E14" s="311" t="n"/>
      <c r="F14" s="311" t="n"/>
      <c r="G14" s="311" t="n"/>
    </row>
    <row r="15">
      <c r="A15" s="306" t="inlineStr">
        <is>
          <t>Составил ______________________    А.Р. Маркова</t>
        </is>
      </c>
      <c r="B15" s="313" t="n"/>
      <c r="C15" s="313" t="n"/>
      <c r="D15" s="311" t="n"/>
      <c r="E15" s="311" t="n"/>
      <c r="F15" s="311" t="n"/>
      <c r="G15" s="311" t="n"/>
    </row>
    <row r="16">
      <c r="A16" s="314" t="inlineStr">
        <is>
          <t xml:space="preserve">                         (подпись, инициалы, фамилия)</t>
        </is>
      </c>
      <c r="B16" s="313" t="n"/>
      <c r="C16" s="313" t="n"/>
      <c r="D16" s="311" t="n"/>
      <c r="E16" s="311" t="n"/>
      <c r="F16" s="311" t="n"/>
      <c r="G16" s="311" t="n"/>
    </row>
    <row r="17">
      <c r="A17" s="306" t="n"/>
      <c r="B17" s="313" t="n"/>
      <c r="C17" s="313" t="n"/>
      <c r="D17" s="311" t="n"/>
      <c r="E17" s="311" t="n"/>
      <c r="F17" s="311" t="n"/>
      <c r="G17" s="311" t="n"/>
    </row>
    <row r="18">
      <c r="A18" s="306" t="inlineStr">
        <is>
          <t>Проверил ______________________        А.В. Костянецкая</t>
        </is>
      </c>
      <c r="B18" s="313" t="n"/>
      <c r="C18" s="313" t="n"/>
      <c r="D18" s="311" t="n"/>
      <c r="E18" s="311" t="n"/>
      <c r="F18" s="311" t="n"/>
      <c r="G18" s="311" t="n"/>
    </row>
    <row r="19">
      <c r="A19" s="314" t="inlineStr">
        <is>
          <t xml:space="preserve">                        (подпись, инициалы, фамилия)</t>
        </is>
      </c>
      <c r="B19" s="313" t="n"/>
      <c r="C19" s="313" t="n"/>
      <c r="D19" s="311" t="n"/>
      <c r="E19" s="311" t="n"/>
      <c r="F19" s="311" t="n"/>
      <c r="G19" s="311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C13" sqref="C13"/>
    </sheetView>
  </sheetViews>
  <sheetFormatPr baseColWidth="8" defaultColWidth="8.88671875" defaultRowHeight="14.4"/>
  <cols>
    <col width="14.44140625" customWidth="1" style="323" min="1" max="1"/>
    <col width="29.6640625" customWidth="1" style="323" min="2" max="2"/>
    <col width="39.109375" customWidth="1" style="323" min="3" max="3"/>
    <col width="48.109375" customWidth="1" style="323" min="4" max="4"/>
    <col width="8.88671875" customWidth="1" style="323" min="5" max="5"/>
  </cols>
  <sheetData>
    <row r="1">
      <c r="B1" s="306" t="n"/>
      <c r="C1" s="306" t="n"/>
      <c r="D1" s="389" t="inlineStr">
        <is>
          <t>Приложение №7</t>
        </is>
      </c>
    </row>
    <row r="2" ht="25.95" customHeight="1" s="323">
      <c r="A2" s="389" t="n"/>
      <c r="B2" s="389" t="n"/>
      <c r="C2" s="389" t="n"/>
      <c r="D2" s="389" t="n"/>
    </row>
    <row r="3" ht="24.75" customHeight="1" s="323">
      <c r="A3" s="345" t="inlineStr">
        <is>
          <t>Расчет показателя УНЦ</t>
        </is>
      </c>
    </row>
    <row r="4" ht="24.75" customHeight="1" s="323">
      <c r="A4" s="345" t="n"/>
      <c r="B4" s="345" t="n"/>
      <c r="C4" s="345" t="n"/>
      <c r="D4" s="345" t="n"/>
    </row>
    <row r="5" ht="24.6" customHeight="1" s="323">
      <c r="A5" s="348" t="inlineStr">
        <is>
          <t xml:space="preserve">Наименование разрабатываемого показателя УНЦ - </t>
        </is>
      </c>
      <c r="D5" s="348">
        <f>'Прил.5 Расчет СМР и ОБ'!D6:J6</f>
        <v/>
      </c>
    </row>
    <row r="6" ht="19.95" customHeight="1" s="323">
      <c r="A6" s="348" t="inlineStr">
        <is>
          <t>Единица измерения  — 1 ед</t>
        </is>
      </c>
      <c r="D6" s="348" t="n"/>
    </row>
    <row r="7">
      <c r="A7" s="306" t="n"/>
      <c r="B7" s="306" t="n"/>
      <c r="C7" s="306" t="n"/>
      <c r="D7" s="306" t="n"/>
    </row>
    <row r="8" ht="14.4" customHeight="1" s="323">
      <c r="A8" s="361" t="inlineStr">
        <is>
          <t>Код показателя</t>
        </is>
      </c>
      <c r="B8" s="361" t="inlineStr">
        <is>
          <t>Наименование показателя</t>
        </is>
      </c>
      <c r="C8" s="361" t="inlineStr">
        <is>
          <t>Наименование РМ, входящих в состав показателя</t>
        </is>
      </c>
      <c r="D8" s="361" t="inlineStr">
        <is>
          <t>Норматив цены на 01.01.2023, тыс.руб.</t>
        </is>
      </c>
    </row>
    <row r="9" ht="15" customHeight="1" s="323">
      <c r="A9" s="442" t="n"/>
      <c r="B9" s="442" t="n"/>
      <c r="C9" s="442" t="n"/>
      <c r="D9" s="442" t="n"/>
    </row>
    <row r="10">
      <c r="A10" s="376" t="n">
        <v>1</v>
      </c>
      <c r="B10" s="376" t="n">
        <v>2</v>
      </c>
      <c r="C10" s="376" t="n">
        <v>3</v>
      </c>
      <c r="D10" s="376" t="n">
        <v>4</v>
      </c>
    </row>
    <row r="11" ht="41.4" customHeight="1" s="323">
      <c r="A11" s="376" t="inlineStr">
        <is>
          <t>К1-12-1</t>
        </is>
      </c>
      <c r="B11" s="376" t="inlineStr">
        <is>
          <t>УНЦ КЛ 6-500 кВ (с алюминиевой жилой)</t>
        </is>
      </c>
      <c r="C11" s="308">
        <f>D5</f>
        <v/>
      </c>
      <c r="D11" s="309">
        <f>'Прил.4 РМ'!C41/1000</f>
        <v/>
      </c>
      <c r="E11" s="310" t="n"/>
    </row>
    <row r="12">
      <c r="A12" s="311" t="n"/>
      <c r="B12" s="312" t="n"/>
      <c r="C12" s="311" t="n"/>
      <c r="D12" s="311" t="n"/>
    </row>
    <row r="13">
      <c r="A13" s="306" t="inlineStr">
        <is>
          <t>Составил ______________________      А.Р. Маркова</t>
        </is>
      </c>
      <c r="B13" s="313" t="n"/>
      <c r="C13" s="313" t="n"/>
      <c r="D13" s="311" t="n"/>
    </row>
    <row r="14">
      <c r="A14" s="314" t="inlineStr">
        <is>
          <t xml:space="preserve">                         (подпись, инициалы, фамилия)</t>
        </is>
      </c>
      <c r="B14" s="313" t="n"/>
      <c r="C14" s="313" t="n"/>
      <c r="D14" s="311" t="n"/>
    </row>
    <row r="15">
      <c r="A15" s="306" t="n"/>
      <c r="B15" s="313" t="n"/>
      <c r="C15" s="313" t="n"/>
      <c r="D15" s="311" t="n"/>
    </row>
    <row r="16">
      <c r="A16" s="306" t="inlineStr">
        <is>
          <t>Проверил ______________________        А.В. Костянецкая</t>
        </is>
      </c>
      <c r="B16" s="313" t="n"/>
      <c r="C16" s="313" t="n"/>
      <c r="D16" s="311" t="n"/>
    </row>
    <row r="17">
      <c r="A17" s="314" t="inlineStr">
        <is>
          <t xml:space="preserve">                        (подпись, инициалы, фамилия)</t>
        </is>
      </c>
      <c r="B17" s="313" t="n"/>
      <c r="C17" s="313" t="n"/>
      <c r="D17" s="311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67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view="pageBreakPreview" topLeftCell="A13" zoomScale="60" zoomScaleNormal="85" workbookViewId="0">
      <selection activeCell="C11" sqref="C11"/>
    </sheetView>
  </sheetViews>
  <sheetFormatPr baseColWidth="8" defaultColWidth="9.109375" defaultRowHeight="14.4"/>
  <cols>
    <col width="9.109375" customWidth="1" style="323" min="1" max="1"/>
    <col width="40.6640625" customWidth="1" style="323" min="2" max="2"/>
    <col width="37" customWidth="1" style="323" min="3" max="3"/>
    <col width="32" customWidth="1" style="323" min="4" max="4"/>
    <col width="9.109375" customWidth="1" style="323" min="5" max="5"/>
  </cols>
  <sheetData>
    <row r="4" ht="15.75" customHeight="1" s="323">
      <c r="B4" s="355" t="inlineStr">
        <is>
          <t>Приложение № 10</t>
        </is>
      </c>
    </row>
    <row r="5" ht="18.75" customHeight="1" s="323">
      <c r="B5" s="173" t="n"/>
    </row>
    <row r="6" ht="15.75" customHeight="1" s="323">
      <c r="B6" s="356" t="inlineStr">
        <is>
          <t>Используемые индексы изменений сметной стоимости и нормы сопутствующих затрат</t>
        </is>
      </c>
    </row>
    <row r="7">
      <c r="B7" s="395" t="n"/>
    </row>
    <row r="8">
      <c r="B8" s="395" t="n"/>
      <c r="C8" s="395" t="n"/>
      <c r="D8" s="395" t="n"/>
      <c r="E8" s="395" t="n"/>
    </row>
    <row r="9" ht="47.25" customHeight="1" s="323">
      <c r="B9" s="361" t="inlineStr">
        <is>
          <t>Наименование индекса / норм сопутствующих затрат</t>
        </is>
      </c>
      <c r="C9" s="361" t="inlineStr">
        <is>
          <t>Дата применения и обоснование индекса / норм сопутствующих затрат</t>
        </is>
      </c>
      <c r="D9" s="361" t="inlineStr">
        <is>
          <t>Размер индекса / норма сопутствующих затрат</t>
        </is>
      </c>
    </row>
    <row r="10" ht="15.75" customHeight="1" s="323">
      <c r="B10" s="361" t="n">
        <v>1</v>
      </c>
      <c r="C10" s="361" t="n">
        <v>2</v>
      </c>
      <c r="D10" s="361" t="n">
        <v>3</v>
      </c>
    </row>
    <row r="11" ht="45" customHeight="1" s="323">
      <c r="B11" s="361" t="inlineStr">
        <is>
          <t xml:space="preserve">Индекс изменения сметной стоимости на 1 квартал 2023 года. ОЗП </t>
        </is>
      </c>
      <c r="C11" s="361" t="inlineStr">
        <is>
          <t>Письмо Минстроя России от 30.03.2023г. №17106-ИФ/09  прил.1</t>
        </is>
      </c>
      <c r="D11" s="361" t="n">
        <v>44.29</v>
      </c>
    </row>
    <row r="12" ht="29.25" customHeight="1" s="323">
      <c r="B12" s="361" t="inlineStr">
        <is>
          <t>Индекс изменения сметной стоимости на 1 квартал 2023 года. ЭМ</t>
        </is>
      </c>
      <c r="C12" s="361" t="inlineStr">
        <is>
          <t>Письмо Минстроя России от 30.03.2023г. №17106-ИФ/09  прил.1</t>
        </is>
      </c>
      <c r="D12" s="361" t="n">
        <v>10.77</v>
      </c>
    </row>
    <row r="13" ht="29.25" customHeight="1" s="323">
      <c r="B13" s="361" t="inlineStr">
        <is>
          <t>Индекс изменения сметной стоимости на 1 квартал 2023 года. МАТ</t>
        </is>
      </c>
      <c r="C13" s="361" t="inlineStr">
        <is>
          <t>Письмо Минстроя России от 30.03.2023г. №17106-ИФ/09  прил.1</t>
        </is>
      </c>
      <c r="D13" s="361" t="n">
        <v>4.39</v>
      </c>
    </row>
    <row r="14" ht="30.75" customHeight="1" s="323">
      <c r="B14" s="361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61" t="n">
        <v>6.26</v>
      </c>
    </row>
    <row r="15" ht="89.40000000000001" customHeight="1" s="323">
      <c r="B15" s="361" t="inlineStr">
        <is>
          <t>Временные здания и сооружения</t>
        </is>
      </c>
      <c r="C15" s="361" t="inlineStr">
        <is>
      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6" t="n">
        <v>0.025</v>
      </c>
    </row>
    <row r="16" ht="78.75" customHeight="1" s="323">
      <c r="B16" s="361" t="inlineStr">
        <is>
          <t>Дополнительные затраты при производстве строительно-монтажных работ в зимнее время</t>
        </is>
      </c>
      <c r="C16" s="361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6" t="n">
        <v>0.021</v>
      </c>
    </row>
    <row r="17" ht="27.6" customHeight="1" s="323">
      <c r="B17" s="361" t="inlineStr">
        <is>
          <t>Пусконаладочные работы*</t>
        </is>
      </c>
      <c r="C17" s="361" t="n"/>
      <c r="D17" s="176" t="inlineStr">
        <is>
          <t>Расчет</t>
        </is>
      </c>
    </row>
    <row r="18" ht="31.65" customHeight="1" s="323">
      <c r="B18" s="361" t="inlineStr">
        <is>
          <t>Строительный контроль</t>
        </is>
      </c>
      <c r="C18" s="361" t="inlineStr">
        <is>
          <t>Постановление Правительства РФ от 21.06.10 г. № 468</t>
        </is>
      </c>
      <c r="D18" s="176" t="n">
        <v>0.0214</v>
      </c>
    </row>
    <row r="19" ht="31.65" customHeight="1" s="323">
      <c r="B19" s="361" t="inlineStr">
        <is>
          <t>Авторский надзор - 0,2%</t>
        </is>
      </c>
      <c r="C19" s="361" t="inlineStr">
        <is>
          <t>Приказ от 4.08.2020 № 421/пр п.173</t>
        </is>
      </c>
      <c r="D19" s="176" t="n">
        <v>0.002</v>
      </c>
    </row>
    <row r="20" ht="24" customHeight="1" s="323">
      <c r="B20" s="361" t="inlineStr">
        <is>
          <t>Непредвиденные расходы</t>
        </is>
      </c>
      <c r="C20" s="361" t="inlineStr">
        <is>
          <t>Приказ от 4.08.2020 № 421/пр п.179</t>
        </is>
      </c>
      <c r="D20" s="176" t="n">
        <v>0.03</v>
      </c>
    </row>
    <row r="21" ht="18.75" customHeight="1" s="323">
      <c r="B21" s="260" t="n"/>
    </row>
    <row r="22" ht="18.75" customHeight="1" s="323">
      <c r="B22" s="260" t="n"/>
    </row>
    <row r="23" ht="18.75" customHeight="1" s="323">
      <c r="B23" s="260" t="n"/>
    </row>
    <row r="24" ht="18.75" customHeight="1" s="323">
      <c r="B24" s="260" t="n"/>
    </row>
    <row r="27">
      <c r="B27" s="306" t="inlineStr">
        <is>
          <t>Составил ______________________        Е.А. Князева</t>
        </is>
      </c>
      <c r="C27" s="313" t="n"/>
    </row>
    <row r="28">
      <c r="B28" s="314" t="inlineStr">
        <is>
          <t xml:space="preserve">                         (подпись, инициалы, фамилия)</t>
        </is>
      </c>
      <c r="C28" s="313" t="n"/>
    </row>
    <row r="29">
      <c r="B29" s="306" t="n"/>
      <c r="C29" s="313" t="n"/>
    </row>
    <row r="30">
      <c r="B30" s="306" t="inlineStr">
        <is>
          <t>Проверил ______________________        А.В. Костянецкая</t>
        </is>
      </c>
      <c r="C30" s="313" t="n"/>
    </row>
    <row r="31">
      <c r="B31" s="314" t="inlineStr">
        <is>
          <t xml:space="preserve">                        (подпись, инициалы, фамилия)</t>
        </is>
      </c>
      <c r="C31" s="313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C11" sqref="C11"/>
    </sheetView>
  </sheetViews>
  <sheetFormatPr baseColWidth="8" defaultColWidth="9.109375" defaultRowHeight="14.4"/>
  <cols>
    <col width="44.88671875" customWidth="1" style="323" min="2" max="2"/>
    <col width="13" customWidth="1" style="323" min="3" max="3"/>
    <col width="22.88671875" customWidth="1" style="323" min="4" max="4"/>
    <col width="21.5546875" customWidth="1" style="323" min="5" max="5"/>
    <col width="43.88671875" customWidth="1" style="323" min="6" max="6"/>
  </cols>
  <sheetData>
    <row r="1" s="323"/>
    <row r="2" ht="17.25" customHeight="1" s="323">
      <c r="A2" s="356" t="inlineStr">
        <is>
          <t>Расчет размера средств на оплату труда рабочих-строителей в текущем уровне цен (ФОТр.тек.)</t>
        </is>
      </c>
    </row>
    <row r="3" s="323"/>
    <row r="4" ht="18" customHeight="1" s="323">
      <c r="A4" s="324" t="inlineStr">
        <is>
          <t>Составлен в уровне цен на 01.01.2023 г.</t>
        </is>
      </c>
      <c r="B4" s="325" t="n"/>
      <c r="C4" s="325" t="n"/>
      <c r="D4" s="325" t="n"/>
      <c r="E4" s="325" t="n"/>
      <c r="F4" s="325" t="n"/>
      <c r="G4" s="325" t="n"/>
    </row>
    <row r="5" ht="15.75" customHeight="1" s="323">
      <c r="A5" s="326" t="inlineStr">
        <is>
          <t>№ пп.</t>
        </is>
      </c>
      <c r="B5" s="326" t="inlineStr">
        <is>
          <t>Наименование элемента</t>
        </is>
      </c>
      <c r="C5" s="326" t="inlineStr">
        <is>
          <t>Обозначение</t>
        </is>
      </c>
      <c r="D5" s="326" t="inlineStr">
        <is>
          <t>Формула</t>
        </is>
      </c>
      <c r="E5" s="326" t="inlineStr">
        <is>
          <t>Величина элемента</t>
        </is>
      </c>
      <c r="F5" s="326" t="inlineStr">
        <is>
          <t>Наименования обосновывающих документов</t>
        </is>
      </c>
      <c r="G5" s="325" t="n"/>
    </row>
    <row r="6" ht="15.75" customHeight="1" s="323">
      <c r="A6" s="326" t="n">
        <v>1</v>
      </c>
      <c r="B6" s="326" t="n">
        <v>2</v>
      </c>
      <c r="C6" s="326" t="n">
        <v>3</v>
      </c>
      <c r="D6" s="326" t="n">
        <v>4</v>
      </c>
      <c r="E6" s="326" t="n">
        <v>5</v>
      </c>
      <c r="F6" s="326" t="n">
        <v>6</v>
      </c>
      <c r="G6" s="325" t="n"/>
    </row>
    <row r="7" ht="110.25" customHeight="1" s="323">
      <c r="A7" s="327" t="inlineStr">
        <is>
          <t>1.1</t>
        </is>
      </c>
      <c r="B7" s="33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61" t="inlineStr">
        <is>
          <t>С1ср</t>
        </is>
      </c>
      <c r="D7" s="361" t="inlineStr">
        <is>
          <t>-</t>
        </is>
      </c>
      <c r="E7" s="330" t="n">
        <v>47872.94</v>
      </c>
      <c r="F7" s="33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25" t="n"/>
    </row>
    <row r="8" ht="31.5" customHeight="1" s="323">
      <c r="A8" s="327" t="inlineStr">
        <is>
          <t>1.2</t>
        </is>
      </c>
      <c r="B8" s="332" t="inlineStr">
        <is>
          <t>Среднегодовое нормативное число часов работы одного рабочего в месяц, часы (ч.)</t>
        </is>
      </c>
      <c r="C8" s="361" t="inlineStr">
        <is>
          <t>tср</t>
        </is>
      </c>
      <c r="D8" s="361" t="inlineStr">
        <is>
          <t>1973ч/12мес.</t>
        </is>
      </c>
      <c r="E8" s="331">
        <f>1973/12</f>
        <v/>
      </c>
      <c r="F8" s="332" t="inlineStr">
        <is>
          <t>Производственный календарь 2023 год
(40-часов.неделя)</t>
        </is>
      </c>
      <c r="G8" s="334" t="n"/>
    </row>
    <row r="9" ht="15.75" customHeight="1" s="323">
      <c r="A9" s="327" t="inlineStr">
        <is>
          <t>1.3</t>
        </is>
      </c>
      <c r="B9" s="332" t="inlineStr">
        <is>
          <t>Коэффициент увеличения</t>
        </is>
      </c>
      <c r="C9" s="361" t="inlineStr">
        <is>
          <t>Кув</t>
        </is>
      </c>
      <c r="D9" s="361" t="inlineStr">
        <is>
          <t>-</t>
        </is>
      </c>
      <c r="E9" s="331" t="n">
        <v>1</v>
      </c>
      <c r="F9" s="332" t="n"/>
      <c r="G9" s="334" t="n"/>
    </row>
    <row r="10" ht="15.75" customHeight="1" s="323">
      <c r="A10" s="327" t="inlineStr">
        <is>
          <t>1.4</t>
        </is>
      </c>
      <c r="B10" s="332" t="inlineStr">
        <is>
          <t>Средний разряд работ</t>
        </is>
      </c>
      <c r="C10" s="361" t="n"/>
      <c r="D10" s="361" t="n"/>
      <c r="E10" s="456" t="n">
        <v>3.8</v>
      </c>
      <c r="F10" s="332" t="inlineStr">
        <is>
          <t>РТМ</t>
        </is>
      </c>
      <c r="G10" s="334" t="n"/>
    </row>
    <row r="11" ht="78.75" customHeight="1" s="323">
      <c r="A11" s="327" t="inlineStr">
        <is>
          <t>1.5</t>
        </is>
      </c>
      <c r="B11" s="332" t="inlineStr">
        <is>
          <t>Тарифный коэффициент среднего разряда работ</t>
        </is>
      </c>
      <c r="C11" s="361" t="inlineStr">
        <is>
          <t>КТ</t>
        </is>
      </c>
      <c r="D11" s="361" t="inlineStr">
        <is>
          <t>-</t>
        </is>
      </c>
      <c r="E11" s="457" t="n">
        <v>1.308</v>
      </c>
      <c r="F11" s="33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25" t="n"/>
    </row>
    <row r="12" ht="78.75" customHeight="1" s="323">
      <c r="A12" s="327" t="inlineStr">
        <is>
          <t>1.6</t>
        </is>
      </c>
      <c r="B12" s="337" t="inlineStr">
        <is>
          <t>Коэффициент инфляции, определяемый поквартально</t>
        </is>
      </c>
      <c r="C12" s="361" t="inlineStr">
        <is>
          <t>Кинф</t>
        </is>
      </c>
      <c r="D12" s="361" t="inlineStr">
        <is>
          <t>-</t>
        </is>
      </c>
      <c r="E12" s="458" t="n">
        <v>1.139</v>
      </c>
      <c r="F12" s="339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34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23">
      <c r="A13" s="340" t="inlineStr">
        <is>
          <t>1.7</t>
        </is>
      </c>
      <c r="B13" s="341" t="inlineStr">
        <is>
          <t>Размер средств на оплату труда рабочих-строителей в текущем уровне цен (ФОТр.тек.), руб/чел.-ч</t>
        </is>
      </c>
      <c r="C13" s="362" t="inlineStr">
        <is>
          <t>ФОТр.тек.</t>
        </is>
      </c>
      <c r="D13" s="362" t="inlineStr">
        <is>
          <t>(С1ср/tср*КТ*Т*Кув)*Кинф</t>
        </is>
      </c>
      <c r="E13" s="343">
        <f>((E7*E9/E8)*E11)*E12</f>
        <v/>
      </c>
      <c r="F13" s="344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25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2025-01-24T12:03:55Z</dcterms:modified>
  <cp:lastModifiedBy>user1</cp:lastModifiedBy>
</cp:coreProperties>
</file>