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55" zoomScaleNormal="55" workbookViewId="0">
      <selection activeCell="D28" sqref="D28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33203125" customWidth="1" style="327" min="5" max="5"/>
    <col width="9.109375" customWidth="1" style="327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45" customHeight="1" s="325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2" t="n"/>
      <c r="C6" s="252" t="n"/>
      <c r="D6" s="252" t="n"/>
    </row>
    <row r="7" ht="64.5" customHeight="1" s="325">
      <c r="B7" s="356" t="inlineStr">
        <is>
          <t>Наименование разрабатываемого показателя УНЦ - Муфта концевая 110 кВ сечением 630 мм2</t>
        </is>
      </c>
    </row>
    <row r="8" ht="31.95" customHeight="1" s="325">
      <c r="B8" s="356" t="inlineStr">
        <is>
          <t>Сопоставимый уровень цен: 4 кв. 2016 г.</t>
        </is>
      </c>
    </row>
    <row r="9" ht="15.75" customHeight="1" s="325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8" t="n"/>
    </row>
    <row r="12" ht="96.75" customHeight="1" s="325">
      <c r="B12" s="359" t="n">
        <v>1</v>
      </c>
      <c r="C12" s="339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39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9" t="inlineStr">
        <is>
          <t>Мощность объекта</t>
        </is>
      </c>
      <c r="D15" s="359" t="n">
        <v>1</v>
      </c>
    </row>
    <row r="16" ht="116.7" customHeight="1" s="325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110 кВ сечением 630 мм2</t>
        </is>
      </c>
    </row>
    <row r="17" ht="79.5" customHeight="1" s="325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D18+D19+D20+D21</f>
        <v/>
      </c>
      <c r="E17" s="251" t="n"/>
    </row>
    <row r="18">
      <c r="B18" s="227" t="inlineStr">
        <is>
          <t>6.1</t>
        </is>
      </c>
      <c r="C18" s="339" t="inlineStr">
        <is>
          <t>строительно-монтажные работы</t>
        </is>
      </c>
      <c r="D18" s="264" t="n">
        <v>3966.35</v>
      </c>
    </row>
    <row r="19" ht="15.75" customHeight="1" s="325">
      <c r="B19" s="227" t="inlineStr">
        <is>
          <t>6.2</t>
        </is>
      </c>
      <c r="C19" s="339" t="inlineStr">
        <is>
          <t>оборудование и инвентарь</t>
        </is>
      </c>
      <c r="D19" s="264" t="n">
        <v>0</v>
      </c>
    </row>
    <row r="20" ht="16.5" customHeight="1" s="325">
      <c r="B20" s="227" t="inlineStr">
        <is>
          <t>6.3</t>
        </is>
      </c>
      <c r="C20" s="339" t="inlineStr">
        <is>
          <t>пусконаладочные работы</t>
        </is>
      </c>
      <c r="D20" s="264" t="n">
        <v>0</v>
      </c>
    </row>
    <row r="21" ht="35.7" customHeight="1" s="325">
      <c r="B21" s="227" t="inlineStr">
        <is>
          <t>6.4</t>
        </is>
      </c>
      <c r="C21" s="226" t="inlineStr">
        <is>
          <t>прочие и лимитированные затраты</t>
        </is>
      </c>
      <c r="D21" s="264">
        <f>D18*0.039+(D18*0.039+D18)*0.021</f>
        <v/>
      </c>
    </row>
    <row r="22">
      <c r="B22" s="359" t="n">
        <v>7</v>
      </c>
      <c r="C22" s="226" t="inlineStr">
        <is>
          <t>Сопоставимый уровень цен</t>
        </is>
      </c>
      <c r="D22" s="265" t="inlineStr">
        <is>
          <t>4 кв. 2016 г.</t>
        </is>
      </c>
      <c r="E22" s="224" t="n"/>
    </row>
    <row r="23" ht="123" customHeight="1" s="325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1" t="n"/>
    </row>
    <row r="24" ht="60.75" customHeight="1" s="325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4" t="n"/>
    </row>
    <row r="25" ht="48.45" customHeight="1" s="325">
      <c r="B25" s="359" t="n">
        <v>10</v>
      </c>
      <c r="C25" s="339" t="inlineStr">
        <is>
          <t>Примечание</t>
        </is>
      </c>
      <c r="D25" s="359" t="n"/>
    </row>
    <row r="26">
      <c r="B26" s="222" t="n"/>
      <c r="C26" s="221" t="n"/>
      <c r="D26" s="221" t="n"/>
    </row>
    <row r="27" ht="37.5" customHeight="1" s="325">
      <c r="B27" s="220" t="n"/>
    </row>
    <row r="28">
      <c r="B28" s="32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664062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54" t="inlineStr">
        <is>
          <t>Приложение № 2</t>
        </is>
      </c>
      <c r="K3" s="220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5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5">
      <c r="B8" s="253" t="n"/>
    </row>
    <row r="9" ht="15.75" customHeight="1" s="325">
      <c r="A9" s="327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7" t="n"/>
      <c r="L9" s="327" t="n"/>
    </row>
    <row r="10" ht="15.75" customHeight="1" s="325">
      <c r="A10" s="327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2016г., тыс. руб.</t>
        </is>
      </c>
      <c r="G10" s="438" t="n"/>
      <c r="H10" s="438" t="n"/>
      <c r="I10" s="438" t="n"/>
      <c r="J10" s="439" t="n"/>
      <c r="K10" s="327" t="n"/>
      <c r="L10" s="327" t="n"/>
    </row>
    <row r="11" ht="31.5" customHeight="1" s="325">
      <c r="A11" s="327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7" t="n"/>
      <c r="L11" s="327" t="n"/>
    </row>
    <row r="12" ht="47.25" customHeight="1" s="325">
      <c r="A12" s="327" t="n"/>
      <c r="B12" s="328" t="n">
        <v>1</v>
      </c>
      <c r="C12" s="344">
        <f>'Прил.1 Сравнит табл'!D16</f>
        <v/>
      </c>
      <c r="D12" s="315" t="inlineStr">
        <is>
          <t>02-04-01</t>
        </is>
      </c>
      <c r="E12" s="339" t="inlineStr">
        <is>
          <t>Строительно-монтажные работы КЛ-110кВ Шушары</t>
        </is>
      </c>
      <c r="F12" s="317" t="n"/>
      <c r="G12" s="317">
        <f>3966352.18/1000</f>
        <v/>
      </c>
      <c r="H12" s="317" t="n"/>
      <c r="I12" s="317" t="n"/>
      <c r="J12" s="318">
        <f>SUM(F12:I12)</f>
        <v/>
      </c>
      <c r="K12" s="327" t="n"/>
      <c r="L12" s="327" t="n"/>
    </row>
    <row r="13" ht="15" customHeight="1" s="325">
      <c r="A13" s="327" t="n"/>
      <c r="B13" s="358" t="inlineStr">
        <is>
          <t>Всего по объекту:</t>
        </is>
      </c>
      <c r="C13" s="438" t="n"/>
      <c r="D13" s="438" t="n"/>
      <c r="E13" s="439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21" t="n"/>
      <c r="L13" s="327" t="n"/>
    </row>
    <row r="14" ht="15.75" customHeight="1" s="325">
      <c r="A14" s="327" t="n"/>
      <c r="B14" s="358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20" t="n"/>
      <c r="G14" s="320">
        <f>G13</f>
        <v/>
      </c>
      <c r="H14" s="320" t="n"/>
      <c r="I14" s="320" t="n"/>
      <c r="J14" s="320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22" t="inlineStr">
        <is>
          <t>Составил ______________________     А.Р. Маркова</t>
        </is>
      </c>
      <c r="D18" s="323" t="n"/>
      <c r="E18" s="323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24" t="inlineStr">
        <is>
          <t xml:space="preserve">                         (подпись, инициалы, фамилия)</t>
        </is>
      </c>
      <c r="D19" s="323" t="n"/>
      <c r="E19" s="323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22" t="n"/>
      <c r="D20" s="323" t="n"/>
      <c r="E20" s="323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22" t="inlineStr">
        <is>
          <t>Проверил ______________________        А.В. Костянецкая</t>
        </is>
      </c>
      <c r="D21" s="323" t="n"/>
      <c r="E21" s="323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24" t="inlineStr">
        <is>
          <t xml:space="preserve">                        (подпись, инициалы, фамилия)</t>
        </is>
      </c>
      <c r="D22" s="323" t="n"/>
      <c r="E22" s="323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/>
    <row r="27" ht="15" customHeight="1" s="325"/>
    <row r="28" ht="15" customHeight="1" s="325"/>
    <row r="29" ht="15" customHeight="1" s="325"/>
    <row r="30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10" zoomScale="85" workbookViewId="0">
      <selection activeCell="D37" sqref="D37"/>
    </sheetView>
  </sheetViews>
  <sheetFormatPr baseColWidth="8" defaultColWidth="9.109375" defaultRowHeight="15.6"/>
  <cols>
    <col width="9.109375" customWidth="1" style="327" min="1" max="1"/>
    <col width="12.6640625" customWidth="1" style="327" min="2" max="2"/>
    <col width="22.332031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5">
      <c r="A4" s="262" t="n"/>
      <c r="B4" s="262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0" t="inlineStr">
        <is>
          <t>Наименование разрабатываемого показателя УНЦ -  Муфта концевая 110 кВ сечением 630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5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95" customHeight="1" s="325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232">
      <c r="A11" s="363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9" t="n"/>
      <c r="H11" s="442">
        <f>SUM(H12:H12)</f>
        <v/>
      </c>
    </row>
    <row r="12">
      <c r="A12" s="392" t="n">
        <v>1</v>
      </c>
      <c r="B12" s="235" t="n"/>
      <c r="C12" s="269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369.6</v>
      </c>
      <c r="G12" s="443" t="n">
        <v>9.619999999999999</v>
      </c>
      <c r="H12" s="254">
        <f>ROUND(F12*G12,2)</f>
        <v/>
      </c>
      <c r="M12" s="444" t="n"/>
    </row>
    <row r="13">
      <c r="A13" s="362" t="inlineStr">
        <is>
          <t>Затраты труда машинистов</t>
        </is>
      </c>
      <c r="B13" s="438" t="n"/>
      <c r="C13" s="438" t="n"/>
      <c r="D13" s="438" t="n"/>
      <c r="E13" s="439" t="n"/>
      <c r="F13" s="363" t="n"/>
      <c r="G13" s="233" t="n"/>
      <c r="H13" s="442">
        <f>H14</f>
        <v/>
      </c>
    </row>
    <row r="14">
      <c r="A14" s="392" t="n">
        <v>2</v>
      </c>
      <c r="B14" s="364" t="n"/>
      <c r="C14" s="271" t="n">
        <v>2</v>
      </c>
      <c r="D14" s="256" t="inlineStr">
        <is>
          <t>Затраты труда машинистов</t>
        </is>
      </c>
      <c r="E14" s="392" t="inlineStr">
        <is>
          <t>чел.-ч</t>
        </is>
      </c>
      <c r="F14" s="392" t="n">
        <v>10.38</v>
      </c>
      <c r="G14" s="254" t="n"/>
      <c r="H14" s="274" t="n">
        <v>138.72</v>
      </c>
    </row>
    <row r="15" customFormat="1" s="232">
      <c r="A15" s="363" t="inlineStr">
        <is>
          <t>Машины и механизмы</t>
        </is>
      </c>
      <c r="B15" s="438" t="n"/>
      <c r="C15" s="438" t="n"/>
      <c r="D15" s="438" t="n"/>
      <c r="E15" s="439" t="n"/>
      <c r="F15" s="363" t="n"/>
      <c r="G15" s="233" t="n"/>
      <c r="H15" s="445">
        <f>SUM(H16:H20)</f>
        <v/>
      </c>
    </row>
    <row r="16" ht="25.5" customHeight="1" s="325">
      <c r="A16" s="392" t="n">
        <v>3</v>
      </c>
      <c r="B16" s="364" t="n"/>
      <c r="C16" s="269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9.640000000000001</v>
      </c>
      <c r="G16" s="376" t="n">
        <v>115.4</v>
      </c>
      <c r="H16" s="286">
        <f>ROUND(F16*G16,2)</f>
        <v/>
      </c>
      <c r="I16" s="288" t="n"/>
      <c r="J16" s="288" t="n"/>
      <c r="L16" s="288" t="n"/>
    </row>
    <row r="17" customFormat="1" s="232">
      <c r="A17" s="392" t="n">
        <v>4</v>
      </c>
      <c r="B17" s="364" t="n"/>
      <c r="C17" s="269" t="inlineStr">
        <is>
          <t>91.19.12-021</t>
        </is>
      </c>
      <c r="D17" s="373" t="inlineStr">
        <is>
          <t>Насосы вакуумные 3,6 м3/мин</t>
        </is>
      </c>
      <c r="E17" s="374" t="inlineStr">
        <is>
          <t>маш.час</t>
        </is>
      </c>
      <c r="F17" s="374" t="n">
        <v>24.16</v>
      </c>
      <c r="G17" s="376" t="n">
        <v>6.28</v>
      </c>
      <c r="H17" s="286">
        <f>ROUND(F17*G17,2)</f>
        <v/>
      </c>
      <c r="I17" s="288" t="n"/>
      <c r="J17" s="288" t="n"/>
      <c r="K17" s="289" t="n"/>
      <c r="L17" s="288" t="n"/>
    </row>
    <row r="18">
      <c r="A18" s="392" t="n">
        <v>5</v>
      </c>
      <c r="B18" s="364" t="n"/>
      <c r="C18" s="269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74" t="inlineStr">
        <is>
          <t>маш.час</t>
        </is>
      </c>
      <c r="F18" s="374" t="n">
        <v>28.96</v>
      </c>
      <c r="G18" s="376" t="n">
        <v>4.14</v>
      </c>
      <c r="H18" s="286">
        <f>ROUND(F18*G18,2)</f>
        <v/>
      </c>
      <c r="I18" s="288" t="n"/>
      <c r="J18" s="288" t="n"/>
      <c r="L18" s="288" t="n"/>
    </row>
    <row r="19">
      <c r="A19" s="392" t="n">
        <v>6</v>
      </c>
      <c r="B19" s="364" t="n"/>
      <c r="C19" s="269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74" t="inlineStr">
        <is>
          <t>маш.час</t>
        </is>
      </c>
      <c r="F19" s="374" t="n">
        <v>0.74</v>
      </c>
      <c r="G19" s="376" t="n">
        <v>65.70999999999999</v>
      </c>
      <c r="H19" s="286">
        <f>ROUND(F19*G19,2)</f>
        <v/>
      </c>
      <c r="I19" s="288" t="n"/>
      <c r="J19" s="288" t="n"/>
      <c r="L19" s="288" t="n"/>
    </row>
    <row r="20" ht="25.5" customHeight="1" s="325">
      <c r="A20" s="392" t="n">
        <v>7</v>
      </c>
      <c r="B20" s="364" t="n"/>
      <c r="C20" s="269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3.16</v>
      </c>
      <c r="G20" s="376" t="n">
        <v>8.1</v>
      </c>
      <c r="H20" s="286">
        <f>ROUND(F20*G20,2)</f>
        <v/>
      </c>
      <c r="I20" s="288" t="n"/>
      <c r="J20" s="288" t="n"/>
      <c r="L20" s="288" t="n"/>
    </row>
    <row r="21">
      <c r="A21" s="363" t="inlineStr">
        <is>
          <t>Материалы</t>
        </is>
      </c>
      <c r="B21" s="438" t="n"/>
      <c r="C21" s="438" t="n"/>
      <c r="D21" s="438" t="n"/>
      <c r="E21" s="439" t="n"/>
      <c r="F21" s="363" t="n"/>
      <c r="G21" s="233" t="n"/>
      <c r="H21" s="445">
        <f>SUM(H22:H35)</f>
        <v/>
      </c>
    </row>
    <row r="22">
      <c r="A22" s="284" t="n">
        <v>8</v>
      </c>
      <c r="B22" s="284" t="n"/>
      <c r="C22" s="392" t="inlineStr">
        <is>
          <t>Прайс из СД ОП</t>
        </is>
      </c>
      <c r="D22" s="281" t="inlineStr">
        <is>
          <t>Муфта концевая 110 кВ сечением 630 мм2</t>
        </is>
      </c>
      <c r="E22" s="392" t="inlineStr">
        <is>
          <t>шт</t>
        </is>
      </c>
      <c r="F22" s="392" t="n">
        <v>6</v>
      </c>
      <c r="G22" s="281" t="n">
        <v>90888.39</v>
      </c>
      <c r="H22" s="286">
        <f>ROUND(F22*G22,2)</f>
        <v/>
      </c>
    </row>
    <row r="23">
      <c r="A23" s="257" t="n">
        <v>9</v>
      </c>
      <c r="B23" s="364" t="n"/>
      <c r="C23" s="269" t="inlineStr">
        <is>
          <t>01.1.02.01-0003</t>
        </is>
      </c>
      <c r="D23" s="373" t="inlineStr">
        <is>
          <t>Асботекстолит, марка Г</t>
        </is>
      </c>
      <c r="E23" s="374" t="inlineStr">
        <is>
          <t>т</t>
        </is>
      </c>
      <c r="F23" s="374" t="n">
        <v>0.012</v>
      </c>
      <c r="G23" s="376" t="n">
        <v>161000</v>
      </c>
      <c r="H23" s="286">
        <f>ROUND(F23*G23,2)</f>
        <v/>
      </c>
      <c r="I23" s="290" t="n"/>
      <c r="J23" s="288" t="n"/>
      <c r="K23" s="288" t="n"/>
    </row>
    <row r="24" ht="25.5" customHeight="1" s="325">
      <c r="A24" s="284" t="n">
        <v>10</v>
      </c>
      <c r="B24" s="364" t="n"/>
      <c r="C24" s="269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74" t="inlineStr">
        <is>
          <t>т</t>
        </is>
      </c>
      <c r="F24" s="374" t="n">
        <v>0.01892</v>
      </c>
      <c r="G24" s="376" t="n">
        <v>68050</v>
      </c>
      <c r="H24" s="286">
        <f>ROUND(F24*G24,2)</f>
        <v/>
      </c>
      <c r="I24" s="290" t="n"/>
      <c r="J24" s="288" t="n"/>
      <c r="K24" s="288" t="n"/>
    </row>
    <row r="25">
      <c r="A25" s="257" t="n">
        <v>11</v>
      </c>
      <c r="B25" s="364" t="n"/>
      <c r="C25" s="269" t="inlineStr">
        <is>
          <t>01.7.03.04-0001</t>
        </is>
      </c>
      <c r="D25" s="373" t="inlineStr">
        <is>
          <t>Электроэнергия</t>
        </is>
      </c>
      <c r="E25" s="374" t="inlineStr">
        <is>
          <t>кВт-ч</t>
        </is>
      </c>
      <c r="F25" s="374" t="n">
        <v>1482.62</v>
      </c>
      <c r="G25" s="376" t="n">
        <v>0.4</v>
      </c>
      <c r="H25" s="286">
        <f>ROUND(F25*G25,2)</f>
        <v/>
      </c>
      <c r="I25" s="290" t="n"/>
      <c r="J25" s="288" t="n"/>
      <c r="K25" s="288" t="n"/>
    </row>
    <row r="26">
      <c r="A26" s="284" t="n">
        <v>12</v>
      </c>
      <c r="B26" s="364" t="n"/>
      <c r="C26" s="269" t="inlineStr">
        <is>
          <t>14.2.06.05-0212</t>
        </is>
      </c>
      <c r="D26" s="373" t="inlineStr">
        <is>
          <t>Компаунд эпоксидный</t>
        </is>
      </c>
      <c r="E26" s="374" t="inlineStr">
        <is>
          <t>кг</t>
        </is>
      </c>
      <c r="F26" s="374" t="n">
        <v>4.8</v>
      </c>
      <c r="G26" s="376" t="n">
        <v>68.8</v>
      </c>
      <c r="H26" s="286">
        <f>ROUND(F26*G26,2)</f>
        <v/>
      </c>
      <c r="I26" s="290" t="n"/>
      <c r="J26" s="288" t="n"/>
      <c r="K26" s="288" t="n"/>
    </row>
    <row r="27" ht="25.5" customHeight="1" s="325">
      <c r="A27" s="257" t="n">
        <v>13</v>
      </c>
      <c r="B27" s="364" t="n"/>
      <c r="C27" s="269" t="inlineStr">
        <is>
          <t>01.7.06.05-0041</t>
        </is>
      </c>
      <c r="D27" s="373" t="inlineStr">
        <is>
          <t>Лента изоляционная прорезиненная односторонняя, ширина 20 мм, толщина 0,25-0,35 мм</t>
        </is>
      </c>
      <c r="E27" s="374" t="inlineStr">
        <is>
          <t>кг</t>
        </is>
      </c>
      <c r="F27" s="374" t="n">
        <v>6.64</v>
      </c>
      <c r="G27" s="376" t="n">
        <v>30.4</v>
      </c>
      <c r="H27" s="286">
        <f>ROUND(F27*G27,2)</f>
        <v/>
      </c>
      <c r="I27" s="290" t="n"/>
      <c r="J27" s="288" t="n"/>
      <c r="K27" s="288" t="n"/>
    </row>
    <row r="28" ht="25.5" customHeight="1" s="325">
      <c r="A28" s="284" t="n">
        <v>14</v>
      </c>
      <c r="B28" s="364" t="n"/>
      <c r="C28" s="269" t="inlineStr">
        <is>
          <t>10.2.02.08-0001</t>
        </is>
      </c>
      <c r="D28" s="373" t="inlineStr">
        <is>
          <t>Проволока медная, круглая, мягкая, электротехническая, диаметр 1,0-3,0 мм и выше</t>
        </is>
      </c>
      <c r="E28" s="374" t="inlineStr">
        <is>
          <t>т</t>
        </is>
      </c>
      <c r="F28" s="374" t="n">
        <v>0.005</v>
      </c>
      <c r="G28" s="376" t="n">
        <v>37517</v>
      </c>
      <c r="H28" s="286">
        <f>ROUND(F28*G28,2)</f>
        <v/>
      </c>
      <c r="I28" s="290" t="n"/>
      <c r="J28" s="288" t="n"/>
      <c r="K28" s="288" t="n"/>
    </row>
    <row r="29">
      <c r="A29" s="257" t="n">
        <v>15</v>
      </c>
      <c r="B29" s="364" t="n"/>
      <c r="C29" s="269" t="inlineStr">
        <is>
          <t>01.3.02.09-0022</t>
        </is>
      </c>
      <c r="D29" s="373" t="inlineStr">
        <is>
          <t>Пропан-бутан смесь техническая</t>
        </is>
      </c>
      <c r="E29" s="374" t="inlineStr">
        <is>
          <t>кг</t>
        </is>
      </c>
      <c r="F29" s="374" t="n">
        <v>22</v>
      </c>
      <c r="G29" s="376" t="n">
        <v>6.09</v>
      </c>
      <c r="H29" s="286">
        <f>ROUND(F29*G29,2)</f>
        <v/>
      </c>
      <c r="I29" s="290" t="n"/>
      <c r="J29" s="288" t="n"/>
      <c r="K29" s="288" t="n"/>
    </row>
    <row r="30">
      <c r="A30" s="257" t="n">
        <v>16</v>
      </c>
      <c r="B30" s="364" t="n"/>
      <c r="C30" s="269" t="inlineStr">
        <is>
          <t>01.7.11.07-0034</t>
        </is>
      </c>
      <c r="D30" s="373" t="inlineStr">
        <is>
          <t>Электроды сварочные Э42А, диаметр 4 мм</t>
        </is>
      </c>
      <c r="E30" s="374" t="inlineStr">
        <is>
          <t>кг</t>
        </is>
      </c>
      <c r="F30" s="374" t="n">
        <v>6.6</v>
      </c>
      <c r="G30" s="376" t="n">
        <v>10.57</v>
      </c>
      <c r="H30" s="286">
        <f>ROUND(F30*G30,2)</f>
        <v/>
      </c>
      <c r="I30" s="290" t="n"/>
      <c r="J30" s="288" t="n"/>
      <c r="K30" s="288" t="n"/>
    </row>
    <row r="31">
      <c r="A31" s="284" t="n">
        <v>17</v>
      </c>
      <c r="B31" s="364" t="n"/>
      <c r="C31" s="269" t="inlineStr">
        <is>
          <t>14.4.02.09-0001</t>
        </is>
      </c>
      <c r="D31" s="373" t="inlineStr">
        <is>
          <t>Краска</t>
        </is>
      </c>
      <c r="E31" s="374" t="inlineStr">
        <is>
          <t>кг</t>
        </is>
      </c>
      <c r="F31" s="374" t="n">
        <v>2.4</v>
      </c>
      <c r="G31" s="376" t="n">
        <v>28.6</v>
      </c>
      <c r="H31" s="286">
        <f>ROUND(F31*G31,2)</f>
        <v/>
      </c>
      <c r="I31" s="290" t="n"/>
      <c r="J31" s="288" t="n"/>
      <c r="K31" s="288" t="n"/>
    </row>
    <row r="32">
      <c r="A32" s="257" t="n">
        <v>18</v>
      </c>
      <c r="B32" s="364" t="n"/>
      <c r="C32" s="269" t="inlineStr">
        <is>
          <t>01.7.20.08-0031</t>
        </is>
      </c>
      <c r="D32" s="373" t="inlineStr">
        <is>
          <t>Бязь суровая</t>
        </is>
      </c>
      <c r="E32" s="374" t="inlineStr">
        <is>
          <t>10 м2</t>
        </is>
      </c>
      <c r="F32" s="374" t="n">
        <v>0.6</v>
      </c>
      <c r="G32" s="376" t="n">
        <v>79.09999999999999</v>
      </c>
      <c r="H32" s="286">
        <f>ROUND(F32*G32,2)</f>
        <v/>
      </c>
      <c r="I32" s="290" t="n"/>
      <c r="J32" s="288" t="n"/>
      <c r="K32" s="288" t="n"/>
    </row>
    <row r="33">
      <c r="A33" s="284" t="n">
        <v>19</v>
      </c>
      <c r="B33" s="364" t="n"/>
      <c r="C33" s="269" t="inlineStr">
        <is>
          <t>01.3.01.05-0009</t>
        </is>
      </c>
      <c r="D33" s="373" t="inlineStr">
        <is>
          <t>Парафин нефтяной твердый Т-1</t>
        </is>
      </c>
      <c r="E33" s="374" t="inlineStr">
        <is>
          <t>т</t>
        </is>
      </c>
      <c r="F33" s="374" t="n">
        <v>0.00378</v>
      </c>
      <c r="G33" s="376" t="n">
        <v>8105.71</v>
      </c>
      <c r="H33" s="286">
        <f>ROUND(F33*G33,2)</f>
        <v/>
      </c>
      <c r="I33" s="290" t="n"/>
      <c r="J33" s="288" t="n"/>
      <c r="K33" s="288" t="n"/>
    </row>
    <row r="34">
      <c r="A34" s="257" t="n">
        <v>20</v>
      </c>
      <c r="B34" s="364" t="n"/>
      <c r="C34" s="269" t="inlineStr">
        <is>
          <t>25.1.01.04-0031</t>
        </is>
      </c>
      <c r="D34" s="373" t="inlineStr">
        <is>
          <t>Шпалы непропитанные для железных дорог, тип I</t>
        </is>
      </c>
      <c r="E34" s="374" t="inlineStr">
        <is>
          <t>шт</t>
        </is>
      </c>
      <c r="F34" s="374" t="n">
        <v>0.104</v>
      </c>
      <c r="G34" s="376" t="n">
        <v>266.67</v>
      </c>
      <c r="H34" s="286">
        <f>ROUND(F34*G34,2)</f>
        <v/>
      </c>
      <c r="I34" s="290" t="n"/>
      <c r="J34" s="288" t="n"/>
      <c r="K34" s="288" t="n"/>
    </row>
    <row r="35">
      <c r="A35" s="284" t="n">
        <v>21</v>
      </c>
      <c r="B35" s="364" t="n"/>
      <c r="C35" s="269" t="inlineStr">
        <is>
          <t>20.1.02.06-0001</t>
        </is>
      </c>
      <c r="D35" s="373" t="inlineStr">
        <is>
          <t>Жир паяльный</t>
        </is>
      </c>
      <c r="E35" s="374" t="inlineStr">
        <is>
          <t>кг</t>
        </is>
      </c>
      <c r="F35" s="374" t="n">
        <v>0.18</v>
      </c>
      <c r="G35" s="376" t="n">
        <v>100.8</v>
      </c>
      <c r="H35" s="286">
        <f>ROUND(F35*G35,2)</f>
        <v/>
      </c>
      <c r="I35" s="290" t="n"/>
      <c r="J35" s="288" t="n"/>
      <c r="K35" s="288" t="n"/>
    </row>
    <row r="37">
      <c r="B37" s="327" t="inlineStr">
        <is>
          <t>Составил ______________________     А.Р. Маркова</t>
        </is>
      </c>
    </row>
    <row r="38">
      <c r="B38" s="220" t="inlineStr">
        <is>
          <t xml:space="preserve">                         (подпись, инициалы, фамилия)</t>
        </is>
      </c>
    </row>
    <row r="40">
      <c r="B40" s="327" t="inlineStr">
        <is>
          <t>Проверил ______________________        А.В. Костянецкая</t>
        </is>
      </c>
    </row>
    <row r="41">
      <c r="B41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33203125" customWidth="1" style="325" min="6" max="6"/>
    <col width="14.33203125" customWidth="1" style="325" min="7" max="7"/>
    <col width="9.109375" customWidth="1" style="325" min="8" max="11"/>
    <col width="13.6640625" customWidth="1" style="325" min="12" max="12"/>
    <col width="9.109375" customWidth="1" style="325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87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7" t="inlineStr">
        <is>
          <t>Ресурсная модель</t>
        </is>
      </c>
    </row>
    <row r="6">
      <c r="B6" s="247" t="n"/>
      <c r="C6" s="322" t="n"/>
      <c r="D6" s="322" t="n"/>
      <c r="E6" s="322" t="n"/>
    </row>
    <row r="7" ht="25.5" customHeight="1" s="325">
      <c r="B7" s="366" t="inlineStr">
        <is>
          <t>Наименование разрабатываемого показателя УНЦ — Муфта концевая 110 кВ сечением 630 мм2</t>
        </is>
      </c>
    </row>
    <row r="8">
      <c r="B8" s="367" t="inlineStr">
        <is>
          <t>Единица измерения  — 1 ед</t>
        </is>
      </c>
    </row>
    <row r="9">
      <c r="B9" s="247" t="n"/>
      <c r="C9" s="322" t="n"/>
      <c r="D9" s="322" t="n"/>
      <c r="E9" s="322" t="n"/>
    </row>
    <row r="10" ht="51" customHeight="1" s="325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3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3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3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3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3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3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3">
        <f>'Прил.5 Расчет СМР и ОБ'!J51</f>
        <v/>
      </c>
      <c r="D17" s="241">
        <f>C17/$C$24</f>
        <v/>
      </c>
      <c r="E17" s="241">
        <f>C17/$C$40</f>
        <v/>
      </c>
      <c r="G17" s="446" t="n"/>
    </row>
    <row r="18">
      <c r="B18" s="239" t="inlineStr">
        <is>
          <t>МАТЕРИАЛЫ, ВСЕГО:</t>
        </is>
      </c>
      <c r="C18" s="303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3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3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ОБ'!D55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3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ОБ'!D54</f>
        <v/>
      </c>
      <c r="D23" s="241" t="n"/>
      <c r="E23" s="239" t="n"/>
    </row>
    <row r="24">
      <c r="B24" s="239" t="inlineStr">
        <is>
          <t>ВСЕГО СМР с НР и СП</t>
        </is>
      </c>
      <c r="C24" s="303">
        <f>C19+C20+C22</f>
        <v/>
      </c>
      <c r="D24" s="241">
        <f>C24/$C$24</f>
        <v/>
      </c>
      <c r="E24" s="241">
        <f>C24/$C$40</f>
        <v/>
      </c>
    </row>
    <row r="25" ht="25.5" customHeight="1" s="325">
      <c r="B25" s="239" t="inlineStr">
        <is>
          <t>ВСЕГО стоимость оборудования, в том числе</t>
        </is>
      </c>
      <c r="C25" s="303">
        <f>'Прил.5 Расчет СМР и ОБ'!J32</f>
        <v/>
      </c>
      <c r="D25" s="241" t="n"/>
      <c r="E25" s="241">
        <f>C25/$C$40</f>
        <v/>
      </c>
    </row>
    <row r="26" ht="25.5" customHeight="1" s="325">
      <c r="B26" s="239" t="inlineStr">
        <is>
          <t>стоимость оборудования технологического</t>
        </is>
      </c>
      <c r="C26" s="303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2" t="n">
        <v>0</v>
      </c>
      <c r="D31" s="239" t="n"/>
      <c r="E31" s="241">
        <f>C31/$C$40</f>
        <v/>
      </c>
    </row>
    <row r="32" ht="25.5" customHeight="1" s="32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0" t="n"/>
    </row>
    <row r="35" ht="76.65000000000001" customHeight="1" s="32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5">
      <c r="B38" s="239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39" t="n"/>
      <c r="E38" s="241">
        <f>C38/$C$40</f>
        <v/>
      </c>
    </row>
    <row r="39" ht="13.95" customHeight="1" s="325">
      <c r="B39" s="239" t="inlineStr">
        <is>
          <t>Непредвиденные расходы</t>
        </is>
      </c>
      <c r="C39" s="303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3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3">
        <f>C40/'Прил.5 Расчет СМР и ОБ'!E58</f>
        <v/>
      </c>
      <c r="D41" s="239" t="n"/>
      <c r="E41" s="239" t="n"/>
    </row>
    <row r="42">
      <c r="B42" s="305" t="n"/>
      <c r="C42" s="322" t="n"/>
      <c r="D42" s="322" t="n"/>
      <c r="E42" s="322" t="n"/>
    </row>
    <row r="43">
      <c r="B43" s="305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305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305" t="n"/>
      <c r="C45" s="322" t="n"/>
      <c r="D45" s="322" t="n"/>
      <c r="E45" s="322" t="n"/>
    </row>
    <row r="46">
      <c r="B46" s="305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67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4" zoomScale="85" workbookViewId="0">
      <selection activeCell="D60" sqref="D60"/>
    </sheetView>
  </sheetViews>
  <sheetFormatPr baseColWidth="8" defaultColWidth="9.109375" defaultRowHeight="14.4" outlineLevelRow="1"/>
  <cols>
    <col width="5.6640625" customWidth="1" style="323" min="1" max="1"/>
    <col width="22.6640625" customWidth="1" style="323" min="2" max="2"/>
    <col width="39.109375" customWidth="1" style="323" min="3" max="3"/>
    <col width="10.6640625" customWidth="1" style="323" min="4" max="4"/>
    <col width="12.6640625" customWidth="1" style="323" min="5" max="5"/>
    <col width="15" customWidth="1" style="323" min="6" max="6"/>
    <col width="13.33203125" customWidth="1" style="323" min="7" max="7"/>
    <col width="12.6640625" customWidth="1" style="323" min="8" max="8"/>
    <col width="13.88671875" customWidth="1" style="323" min="9" max="9"/>
    <col width="17.6640625" customWidth="1" style="323" min="10" max="10"/>
    <col width="10.88671875" customWidth="1" style="323" min="11" max="11"/>
    <col width="9.109375" customWidth="1" style="323" min="12" max="12"/>
    <col width="9.109375" customWidth="1" style="325" min="13" max="13"/>
  </cols>
  <sheetData>
    <row r="1" s="325">
      <c r="A1" s="323" t="n"/>
      <c r="B1" s="323" t="n"/>
      <c r="C1" s="323" t="n"/>
      <c r="D1" s="323" t="n"/>
      <c r="E1" s="323" t="n"/>
      <c r="F1" s="323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323" t="n"/>
      <c r="C2" s="323" t="n"/>
      <c r="D2" s="323" t="n"/>
      <c r="E2" s="323" t="n"/>
      <c r="F2" s="323" t="n"/>
      <c r="G2" s="323" t="n"/>
      <c r="H2" s="382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323" t="n"/>
      <c r="C3" s="323" t="n"/>
      <c r="D3" s="323" t="n"/>
      <c r="E3" s="323" t="n"/>
      <c r="F3" s="323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2">
      <c r="A4" s="347" t="inlineStr">
        <is>
          <t>Расчет стоимости СМР и оборудования</t>
        </is>
      </c>
    </row>
    <row r="5" ht="12.75" customFormat="1" customHeight="1" s="322">
      <c r="A5" s="347" t="n"/>
      <c r="B5" s="347" t="n"/>
      <c r="C5" s="394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22">
      <c r="A6" s="207" t="inlineStr">
        <is>
          <t>Наименование разрабатываемого показателя УНЦ</t>
        </is>
      </c>
      <c r="B6" s="206" t="n"/>
      <c r="C6" s="206" t="n"/>
      <c r="D6" s="386" t="inlineStr">
        <is>
          <t>Муфта концевая 110 кВ сечением 630 мм2</t>
        </is>
      </c>
    </row>
    <row r="7" ht="12.75" customFormat="1" customHeight="1" s="322">
      <c r="A7" s="350" t="inlineStr">
        <is>
          <t>Единица измерения  — 1 ед</t>
        </is>
      </c>
      <c r="I7" s="366" t="n"/>
      <c r="J7" s="366" t="n"/>
    </row>
    <row r="8" ht="13.95" customFormat="1" customHeight="1" s="322">
      <c r="A8" s="350" t="n"/>
    </row>
    <row r="9" ht="13.2" customFormat="1" customHeight="1" s="322"/>
    <row r="10" ht="27" customHeight="1" s="325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23" t="n"/>
      <c r="L10" s="323" t="n"/>
      <c r="M10" s="323" t="n"/>
      <c r="N10" s="323" t="n"/>
    </row>
    <row r="11" ht="28.5" customHeight="1" s="325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23" t="n"/>
      <c r="L11" s="323" t="n"/>
      <c r="M11" s="323" t="n"/>
      <c r="N11" s="323" t="n"/>
    </row>
    <row r="12" s="325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23" t="n"/>
      <c r="L12" s="323" t="n"/>
      <c r="M12" s="323" t="n"/>
      <c r="N12" s="323" t="n"/>
    </row>
    <row r="13">
      <c r="A13" s="374" t="n"/>
      <c r="B13" s="36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5">
      <c r="A14" s="374" t="n">
        <v>1</v>
      </c>
      <c r="B14" s="269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3">
      <c r="A15" s="374" t="n"/>
      <c r="B15" s="374" t="n"/>
      <c r="C15" s="36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23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23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7" t="n">
        <v>10.38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3">
      <c r="A18" s="374" t="n"/>
      <c r="B18" s="36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23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23">
      <c r="A20" s="374" t="n">
        <v>3</v>
      </c>
      <c r="B20" s="269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8" t="n">
        <v>9.640000000000001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23">
      <c r="A21" s="374" t="n">
        <v>4</v>
      </c>
      <c r="B21" s="269" t="inlineStr">
        <is>
          <t>91.19.12-021</t>
        </is>
      </c>
      <c r="C21" s="373" t="inlineStr">
        <is>
          <t>Насосы вакуумные 3,6 м3/мин</t>
        </is>
      </c>
      <c r="D21" s="374" t="inlineStr">
        <is>
          <t>маш.час</t>
        </is>
      </c>
      <c r="E21" s="448" t="n">
        <v>24.16</v>
      </c>
      <c r="F21" s="376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3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47" t="n"/>
      <c r="F22" s="201" t="n"/>
      <c r="G22" s="201">
        <f>SUM(G20:G21)</f>
        <v/>
      </c>
      <c r="H22" s="377">
        <f>G22/G27</f>
        <v/>
      </c>
      <c r="I22" s="195" t="n"/>
      <c r="J22" s="201">
        <f>SUM(J20:J21)</f>
        <v/>
      </c>
    </row>
    <row r="23" outlineLevel="1" ht="25.5" customFormat="1" customHeight="1" s="323">
      <c r="A23" s="374" t="n">
        <v>5</v>
      </c>
      <c r="B23" s="269" t="inlineStr">
        <is>
          <t>91.03.02-011</t>
        </is>
      </c>
      <c r="C23" s="373" t="inlineStr">
        <is>
          <t>Вентиляторы во взрывобезопасном исполнении</t>
        </is>
      </c>
      <c r="D23" s="374" t="inlineStr">
        <is>
          <t>маш.час</t>
        </is>
      </c>
      <c r="E23" s="448" t="n">
        <v>28.96</v>
      </c>
      <c r="F23" s="376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23">
      <c r="A24" s="374" t="n">
        <v>6</v>
      </c>
      <c r="B24" s="269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74" t="inlineStr">
        <is>
          <t>маш.час</t>
        </is>
      </c>
      <c r="E24" s="448" t="n">
        <v>0.74</v>
      </c>
      <c r="F24" s="376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23">
      <c r="A25" s="374" t="n">
        <v>7</v>
      </c>
      <c r="B25" s="269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448" t="n">
        <v>3.16</v>
      </c>
      <c r="F25" s="37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3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323">
      <c r="A27" s="374" t="n"/>
      <c r="B27" s="374" t="n"/>
      <c r="C27" s="362" t="inlineStr">
        <is>
          <t>Итого по разделу «Машины и механизмы»</t>
        </is>
      </c>
      <c r="D27" s="374" t="n"/>
      <c r="E27" s="375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323">
      <c r="A28" s="374" t="n"/>
      <c r="B28" s="362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4" t="n"/>
      <c r="B29" s="373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23" t="n"/>
      <c r="L29" s="323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48" t="n"/>
      <c r="F30" s="376" t="n"/>
      <c r="G30" s="201" t="n">
        <v>0</v>
      </c>
      <c r="H30" s="203" t="n">
        <v>0</v>
      </c>
      <c r="I30" s="195" t="n"/>
      <c r="J30" s="201" t="n">
        <v>0</v>
      </c>
      <c r="K30" s="323" t="n"/>
      <c r="L30" s="323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47" t="n"/>
      <c r="F31" s="376" t="n"/>
      <c r="G31" s="201" t="n">
        <v>0</v>
      </c>
      <c r="H31" s="203" t="n">
        <v>0</v>
      </c>
      <c r="I31" s="195" t="n"/>
      <c r="J31" s="201" t="n">
        <v>0</v>
      </c>
      <c r="K31" s="323" t="n"/>
      <c r="L31" s="323" t="n"/>
    </row>
    <row r="32">
      <c r="A32" s="374" t="n"/>
      <c r="B32" s="374" t="n"/>
      <c r="C32" s="362" t="inlineStr">
        <is>
          <t>Итого по разделу «Оборудование»</t>
        </is>
      </c>
      <c r="D32" s="374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23" t="n"/>
      <c r="L32" s="323" t="n"/>
    </row>
    <row r="33" ht="25.5" customHeight="1" s="325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48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23" t="n"/>
      <c r="L33" s="323" t="n"/>
    </row>
    <row r="34" ht="14.25" customFormat="1" customHeight="1" s="323">
      <c r="A34" s="374" t="n"/>
      <c r="B34" s="362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23">
      <c r="A35" s="369" t="n"/>
      <c r="B35" s="368" t="inlineStr">
        <is>
          <t>Основные материалы</t>
        </is>
      </c>
      <c r="C35" s="449" t="n"/>
      <c r="D35" s="449" t="n"/>
      <c r="E35" s="449" t="n"/>
      <c r="F35" s="449" t="n"/>
      <c r="G35" s="449" t="n"/>
      <c r="H35" s="450" t="n"/>
      <c r="I35" s="209" t="n"/>
      <c r="J35" s="209" t="n"/>
    </row>
    <row r="36" ht="14.25" customFormat="1" customHeight="1" s="323">
      <c r="A36" s="374" t="n">
        <v>8</v>
      </c>
      <c r="B36" s="374" t="inlineStr">
        <is>
          <t>БЦ.91.82</t>
        </is>
      </c>
      <c r="C36" s="256" t="inlineStr">
        <is>
          <t>Муфта концевая 110 кВ сечением 630 мм2</t>
        </is>
      </c>
      <c r="D36" s="374" t="inlineStr">
        <is>
          <t>шт</t>
        </is>
      </c>
      <c r="E36" s="448" t="n">
        <v>6</v>
      </c>
      <c r="F36" s="376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323">
      <c r="A37" s="385" t="n"/>
      <c r="B37" s="211" t="n"/>
      <c r="C37" s="278" t="inlineStr">
        <is>
          <t>Итого основные материалы</t>
        </is>
      </c>
      <c r="D37" s="385" t="n"/>
      <c r="E37" s="451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323">
      <c r="A38" s="374" t="n">
        <v>9</v>
      </c>
      <c r="B38" s="269" t="inlineStr">
        <is>
          <t>01.1.02.01-0003</t>
        </is>
      </c>
      <c r="C38" s="373" t="inlineStr">
        <is>
          <t>Асботекстолит, марка Г</t>
        </is>
      </c>
      <c r="D38" s="374" t="inlineStr">
        <is>
          <t>т</t>
        </is>
      </c>
      <c r="E38" s="448" t="n">
        <v>0.012</v>
      </c>
      <c r="F38" s="376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23">
      <c r="A39" s="374" t="n">
        <v>10</v>
      </c>
      <c r="B39" s="269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74" t="inlineStr">
        <is>
          <t>т</t>
        </is>
      </c>
      <c r="E39" s="448" t="n">
        <v>0.01892</v>
      </c>
      <c r="F39" s="376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3">
      <c r="A40" s="374" t="n">
        <v>11</v>
      </c>
      <c r="B40" s="269" t="inlineStr">
        <is>
          <t>01.7.03.04-0001</t>
        </is>
      </c>
      <c r="C40" s="373" t="inlineStr">
        <is>
          <t>Электроэнергия</t>
        </is>
      </c>
      <c r="D40" s="374" t="inlineStr">
        <is>
          <t>кВт-ч</t>
        </is>
      </c>
      <c r="E40" s="448" t="n">
        <v>1482.62</v>
      </c>
      <c r="F40" s="376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3">
      <c r="A41" s="374" t="n">
        <v>12</v>
      </c>
      <c r="B41" s="269" t="inlineStr">
        <is>
          <t>14.2.06.05-0212</t>
        </is>
      </c>
      <c r="C41" s="373" t="inlineStr">
        <is>
          <t>Компаунд эпоксидный</t>
        </is>
      </c>
      <c r="D41" s="374" t="inlineStr">
        <is>
          <t>кг</t>
        </is>
      </c>
      <c r="E41" s="448" t="n">
        <v>4.8</v>
      </c>
      <c r="F41" s="376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3">
      <c r="A42" s="374" t="n">
        <v>13</v>
      </c>
      <c r="B42" s="269" t="inlineStr">
        <is>
          <t>01.7.06.05-0041</t>
        </is>
      </c>
      <c r="C42" s="373" t="inlineStr">
        <is>
          <t>Лента изоляционная прорезиненная односторонняя, ширина 20 мм, толщина 0,25-0,35 мм</t>
        </is>
      </c>
      <c r="D42" s="374" t="inlineStr">
        <is>
          <t>кг</t>
        </is>
      </c>
      <c r="E42" s="448" t="n">
        <v>6.64</v>
      </c>
      <c r="F42" s="376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23">
      <c r="A43" s="374" t="n">
        <v>14</v>
      </c>
      <c r="B43" s="269" t="inlineStr">
        <is>
          <t>10.2.02.08-0001</t>
        </is>
      </c>
      <c r="C43" s="373" t="inlineStr">
        <is>
          <t>Проволока медная, круглая, мягкая, электротехническая, диаметр 1,0-3,0 мм и выше</t>
        </is>
      </c>
      <c r="D43" s="374" t="inlineStr">
        <is>
          <t>т</t>
        </is>
      </c>
      <c r="E43" s="448" t="n">
        <v>0.005</v>
      </c>
      <c r="F43" s="376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3">
      <c r="A44" s="374" t="n">
        <v>15</v>
      </c>
      <c r="B44" s="269" t="inlineStr">
        <is>
          <t>01.3.02.09-0022</t>
        </is>
      </c>
      <c r="C44" s="373" t="inlineStr">
        <is>
          <t>Пропан-бутан смесь техническая</t>
        </is>
      </c>
      <c r="D44" s="374" t="inlineStr">
        <is>
          <t>кг</t>
        </is>
      </c>
      <c r="E44" s="448" t="n">
        <v>22</v>
      </c>
      <c r="F44" s="376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3">
      <c r="A45" s="374" t="n">
        <v>16</v>
      </c>
      <c r="B45" s="269" t="inlineStr">
        <is>
          <t>01.7.11.07-0034</t>
        </is>
      </c>
      <c r="C45" s="373" t="inlineStr">
        <is>
          <t>Электроды сварочные Э42А, диаметр 4 мм</t>
        </is>
      </c>
      <c r="D45" s="374" t="inlineStr">
        <is>
          <t>кг</t>
        </is>
      </c>
      <c r="E45" s="448" t="n">
        <v>6.6</v>
      </c>
      <c r="F45" s="376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3">
      <c r="A46" s="374" t="n">
        <v>17</v>
      </c>
      <c r="B46" s="269" t="inlineStr">
        <is>
          <t>14.4.02.09-0001</t>
        </is>
      </c>
      <c r="C46" s="373" t="inlineStr">
        <is>
          <t>Краска</t>
        </is>
      </c>
      <c r="D46" s="374" t="inlineStr">
        <is>
          <t>кг</t>
        </is>
      </c>
      <c r="E46" s="448" t="n">
        <v>2.4</v>
      </c>
      <c r="F46" s="376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23">
      <c r="A47" s="374" t="n">
        <v>18</v>
      </c>
      <c r="B47" s="269" t="inlineStr">
        <is>
          <t>01.7.20.08-0031</t>
        </is>
      </c>
      <c r="C47" s="373" t="inlineStr">
        <is>
          <t>Бязь суровая</t>
        </is>
      </c>
      <c r="D47" s="374" t="inlineStr">
        <is>
          <t>10 м2</t>
        </is>
      </c>
      <c r="E47" s="448" t="n">
        <v>0.6</v>
      </c>
      <c r="F47" s="376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3">
      <c r="A48" s="374" t="n">
        <v>19</v>
      </c>
      <c r="B48" s="269" t="inlineStr">
        <is>
          <t>01.3.01.05-0009</t>
        </is>
      </c>
      <c r="C48" s="373" t="inlineStr">
        <is>
          <t>Парафин нефтяной твердый Т-1</t>
        </is>
      </c>
      <c r="D48" s="374" t="inlineStr">
        <is>
          <t>т</t>
        </is>
      </c>
      <c r="E48" s="448" t="n">
        <v>0.00378</v>
      </c>
      <c r="F48" s="376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3">
      <c r="A49" s="374" t="n">
        <v>20</v>
      </c>
      <c r="B49" s="269" t="inlineStr">
        <is>
          <t>25.1.01.04-0031</t>
        </is>
      </c>
      <c r="C49" s="373" t="inlineStr">
        <is>
          <t>Шпалы непропитанные для железных дорог, тип I</t>
        </is>
      </c>
      <c r="D49" s="374" t="inlineStr">
        <is>
          <t>шт</t>
        </is>
      </c>
      <c r="E49" s="448" t="n">
        <v>0.104</v>
      </c>
      <c r="F49" s="376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323">
      <c r="A50" s="374" t="n">
        <v>21</v>
      </c>
      <c r="B50" s="269" t="inlineStr">
        <is>
          <t>20.1.02.06-0001</t>
        </is>
      </c>
      <c r="C50" s="373" t="inlineStr">
        <is>
          <t>Жир паяльный</t>
        </is>
      </c>
      <c r="D50" s="374" t="inlineStr">
        <is>
          <t>кг</t>
        </is>
      </c>
      <c r="E50" s="448" t="n">
        <v>0.18</v>
      </c>
      <c r="F50" s="376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323">
      <c r="A51" s="385" t="n"/>
      <c r="B51" s="385" t="n"/>
      <c r="C51" s="278" t="inlineStr">
        <is>
          <t>Итого прочие материалы</t>
        </is>
      </c>
      <c r="D51" s="385" t="n"/>
      <c r="E51" s="451" t="n"/>
      <c r="F51" s="279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323">
      <c r="A52" s="374" t="n"/>
      <c r="B52" s="374" t="n"/>
      <c r="C52" s="362" t="inlineStr">
        <is>
          <t>Итого по разделу «Материалы»</t>
        </is>
      </c>
      <c r="D52" s="374" t="n"/>
      <c r="E52" s="375" t="n"/>
      <c r="F52" s="376" t="n"/>
      <c r="G52" s="201">
        <f>G37+G51</f>
        <v/>
      </c>
      <c r="H52" s="377">
        <f>G52/$G$52</f>
        <v/>
      </c>
      <c r="I52" s="201" t="n"/>
      <c r="J52" s="201">
        <f>J37+J51</f>
        <v/>
      </c>
    </row>
    <row r="53" ht="14.25" customFormat="1" customHeight="1" s="323">
      <c r="A53" s="374" t="n"/>
      <c r="B53" s="374" t="n"/>
      <c r="C53" s="373" t="inlineStr">
        <is>
          <t>ИТОГО ПО РМ</t>
        </is>
      </c>
      <c r="D53" s="374" t="n"/>
      <c r="E53" s="375" t="n"/>
      <c r="F53" s="376" t="n"/>
      <c r="G53" s="201">
        <f>G15+G27+G52</f>
        <v/>
      </c>
      <c r="H53" s="377" t="n"/>
      <c r="I53" s="201" t="n"/>
      <c r="J53" s="201">
        <f>J15+J27+J52</f>
        <v/>
      </c>
    </row>
    <row r="54" ht="14.25" customFormat="1" customHeight="1" s="323">
      <c r="A54" s="374" t="n"/>
      <c r="B54" s="374" t="n"/>
      <c r="C54" s="373" t="inlineStr">
        <is>
          <t>Накладные расходы</t>
        </is>
      </c>
      <c r="D54" s="197">
        <f>ROUND(G54/(G$17+$G$15),2)</f>
        <v/>
      </c>
      <c r="E54" s="375" t="n"/>
      <c r="F54" s="376" t="n"/>
      <c r="G54" s="201" t="n">
        <v>3583.45</v>
      </c>
      <c r="H54" s="377" t="n"/>
      <c r="I54" s="201" t="n"/>
      <c r="J54" s="201">
        <f>ROUND(D54*(J15+J17),2)</f>
        <v/>
      </c>
    </row>
    <row r="55" ht="14.25" customFormat="1" customHeight="1" s="323">
      <c r="A55" s="374" t="n"/>
      <c r="B55" s="374" t="n"/>
      <c r="C55" s="373" t="inlineStr">
        <is>
          <t>Сметная прибыль</t>
        </is>
      </c>
      <c r="D55" s="197">
        <f>ROUND(G55/(G$15+G$17),2)</f>
        <v/>
      </c>
      <c r="E55" s="375" t="n"/>
      <c r="F55" s="376" t="n"/>
      <c r="G55" s="201" t="n">
        <v>1884.08</v>
      </c>
      <c r="H55" s="377" t="n"/>
      <c r="I55" s="201" t="n"/>
      <c r="J55" s="201">
        <f>ROUND(D55*(J15+J17),2)</f>
        <v/>
      </c>
    </row>
    <row r="56" ht="14.25" customFormat="1" customHeight="1" s="323">
      <c r="A56" s="374" t="n"/>
      <c r="B56" s="374" t="n"/>
      <c r="C56" s="373" t="inlineStr">
        <is>
          <t>Итого СМР (с НР и СП)</t>
        </is>
      </c>
      <c r="D56" s="374" t="n"/>
      <c r="E56" s="375" t="n"/>
      <c r="F56" s="376" t="n"/>
      <c r="G56" s="201">
        <f>G15+G27+G52+G54+G55</f>
        <v/>
      </c>
      <c r="H56" s="377" t="n"/>
      <c r="I56" s="201" t="n"/>
      <c r="J56" s="201">
        <f>J15+J27+J52+J54+J55</f>
        <v/>
      </c>
    </row>
    <row r="57" ht="14.25" customFormat="1" customHeight="1" s="323">
      <c r="A57" s="374" t="n"/>
      <c r="B57" s="374" t="n"/>
      <c r="C57" s="373" t="inlineStr">
        <is>
          <t>ВСЕГО СМР + ОБОРУДОВАНИЕ</t>
        </is>
      </c>
      <c r="D57" s="374" t="n"/>
      <c r="E57" s="375" t="n"/>
      <c r="F57" s="376" t="n"/>
      <c r="G57" s="201">
        <f>G56+G32</f>
        <v/>
      </c>
      <c r="H57" s="377" t="n"/>
      <c r="I57" s="201" t="n"/>
      <c r="J57" s="201">
        <f>J56+J32</f>
        <v/>
      </c>
    </row>
    <row r="58" ht="34.5" customFormat="1" customHeight="1" s="323">
      <c r="A58" s="374" t="n"/>
      <c r="B58" s="374" t="n"/>
      <c r="C58" s="373" t="inlineStr">
        <is>
          <t>ИТОГО ПОКАЗАТЕЛЬ НА ЕД. ИЗМ.</t>
        </is>
      </c>
      <c r="D58" s="374" t="inlineStr">
        <is>
          <t>1 ед</t>
        </is>
      </c>
      <c r="E58" s="448" t="n">
        <v>1</v>
      </c>
      <c r="F58" s="376" t="n"/>
      <c r="G58" s="201">
        <f>G57/E58</f>
        <v/>
      </c>
      <c r="H58" s="377" t="n"/>
      <c r="I58" s="201" t="n"/>
      <c r="J58" s="201">
        <f>J57/E58</f>
        <v/>
      </c>
    </row>
    <row r="60" ht="14.25" customFormat="1" customHeight="1" s="323">
      <c r="A60" s="322" t="inlineStr">
        <is>
          <t>Составил ______________________    А.Р. Маркова</t>
        </is>
      </c>
    </row>
    <row r="61" ht="14.25" customFormat="1" customHeight="1" s="323">
      <c r="A61" s="324" t="inlineStr">
        <is>
          <t xml:space="preserve">                         (подпись, инициалы, фамилия)</t>
        </is>
      </c>
    </row>
    <row r="62" ht="14.25" customFormat="1" customHeight="1" s="323">
      <c r="A62" s="322" t="n"/>
    </row>
    <row r="63" ht="14.25" customFormat="1" customHeight="1" s="323">
      <c r="A63" s="322" t="inlineStr">
        <is>
          <t>Проверил ______________________        А.В. Костянецкая</t>
        </is>
      </c>
    </row>
    <row r="64" ht="14.25" customFormat="1" customHeight="1" s="323">
      <c r="A64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5" min="1" max="1"/>
    <col width="17.664062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87" t="inlineStr">
        <is>
          <t>Приложение №6</t>
        </is>
      </c>
    </row>
    <row r="2" ht="21.75" customHeight="1" s="325">
      <c r="A2" s="387" t="n"/>
      <c r="B2" s="387" t="n"/>
      <c r="C2" s="387" t="n"/>
      <c r="D2" s="387" t="n"/>
      <c r="E2" s="387" t="n"/>
      <c r="F2" s="387" t="n"/>
      <c r="G2" s="387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Муфта концевая 110 кВ сечением 630 мм2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.45" customHeight="1" s="325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5">
      <c r="A9" s="239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5">
      <c r="A10" s="374" t="n"/>
      <c r="B10" s="362" t="n"/>
      <c r="C10" s="373" t="inlineStr">
        <is>
          <t>ИТОГО ИНЖЕНЕРНОЕ ОБОРУДОВАНИЕ</t>
        </is>
      </c>
      <c r="D10" s="362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5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1" t="n">
        <v>0</v>
      </c>
    </row>
    <row r="13" ht="19.5" customHeight="1" s="325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1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22" t="inlineStr">
        <is>
          <t>Составил ______________________    А.Р. Маркова</t>
        </is>
      </c>
      <c r="B15" s="323" t="n"/>
      <c r="C15" s="323" t="n"/>
      <c r="D15" s="306" t="n"/>
      <c r="E15" s="306" t="n"/>
      <c r="F15" s="306" t="n"/>
      <c r="G15" s="306" t="n"/>
    </row>
    <row r="16">
      <c r="A16" s="324" t="inlineStr">
        <is>
          <t xml:space="preserve">                         (подпись, инициалы, фамилия)</t>
        </is>
      </c>
      <c r="B16" s="323" t="n"/>
      <c r="C16" s="323" t="n"/>
      <c r="D16" s="306" t="n"/>
      <c r="E16" s="306" t="n"/>
      <c r="F16" s="306" t="n"/>
      <c r="G16" s="306" t="n"/>
    </row>
    <row r="17">
      <c r="A17" s="322" t="n"/>
      <c r="B17" s="323" t="n"/>
      <c r="C17" s="323" t="n"/>
      <c r="D17" s="306" t="n"/>
      <c r="E17" s="306" t="n"/>
      <c r="F17" s="306" t="n"/>
      <c r="G17" s="306" t="n"/>
    </row>
    <row r="18">
      <c r="A18" s="322" t="inlineStr">
        <is>
          <t>Проверил ______________________        А.В. Костянецкая</t>
        </is>
      </c>
      <c r="B18" s="323" t="n"/>
      <c r="C18" s="323" t="n"/>
      <c r="D18" s="306" t="n"/>
      <c r="E18" s="306" t="n"/>
      <c r="F18" s="306" t="n"/>
      <c r="G18" s="306" t="n"/>
    </row>
    <row r="19">
      <c r="A19" s="324" t="inlineStr">
        <is>
          <t xml:space="preserve">                        (подпись, инициалы, фамилия)</t>
        </is>
      </c>
      <c r="B19" s="323" t="n"/>
      <c r="C19" s="323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325" min="1" max="1"/>
    <col width="29.6640625" customWidth="1" style="325" min="2" max="2"/>
    <col width="39.109375" customWidth="1" style="325" min="3" max="3"/>
    <col width="48.109375" customWidth="1" style="325" min="4" max="4"/>
    <col width="8.88671875" customWidth="1" style="325" min="5" max="5"/>
  </cols>
  <sheetData>
    <row r="1">
      <c r="B1" s="322" t="n"/>
      <c r="C1" s="322" t="n"/>
      <c r="D1" s="387" t="inlineStr">
        <is>
          <t>Приложение №7</t>
        </is>
      </c>
    </row>
    <row r="2" ht="25.95" customHeight="1" s="325">
      <c r="A2" s="387" t="n"/>
      <c r="B2" s="387" t="n"/>
      <c r="C2" s="387" t="n"/>
      <c r="D2" s="387" t="n"/>
    </row>
    <row r="3" ht="24.75" customHeight="1" s="325">
      <c r="A3" s="347" t="inlineStr">
        <is>
          <t>Расчет показателя УНЦ</t>
        </is>
      </c>
    </row>
    <row r="4" ht="24.75" customHeight="1" s="325">
      <c r="A4" s="347" t="n"/>
      <c r="B4" s="347" t="n"/>
      <c r="C4" s="347" t="n"/>
      <c r="D4" s="347" t="n"/>
    </row>
    <row r="5" ht="24.6" customHeight="1" s="325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5" customHeight="1" s="325">
      <c r="A6" s="350" t="inlineStr">
        <is>
          <t>Единица измерения  — 1 ед</t>
        </is>
      </c>
      <c r="D6" s="350" t="n"/>
    </row>
    <row r="7">
      <c r="A7" s="322" t="n"/>
      <c r="B7" s="322" t="n"/>
      <c r="C7" s="322" t="n"/>
      <c r="D7" s="322" t="n"/>
    </row>
    <row r="8" ht="14.4" customHeight="1" s="325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5">
      <c r="A9" s="441" t="n"/>
      <c r="B9" s="441" t="n"/>
      <c r="C9" s="441" t="n"/>
      <c r="D9" s="44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" customHeight="1" s="325">
      <c r="A11" s="374" t="inlineStr">
        <is>
          <t>К1-12-5</t>
        </is>
      </c>
      <c r="B11" s="374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22" t="inlineStr">
        <is>
          <t>Составил ______________________      А.Р. Маркова</t>
        </is>
      </c>
      <c r="B13" s="323" t="n"/>
      <c r="C13" s="323" t="n"/>
      <c r="D13" s="306" t="n"/>
    </row>
    <row r="14">
      <c r="A14" s="324" t="inlineStr">
        <is>
          <t xml:space="preserve">                         (подпись, инициалы, фамилия)</t>
        </is>
      </c>
      <c r="B14" s="323" t="n"/>
      <c r="C14" s="323" t="n"/>
      <c r="D14" s="306" t="n"/>
    </row>
    <row r="15">
      <c r="A15" s="322" t="n"/>
      <c r="B15" s="323" t="n"/>
      <c r="C15" s="323" t="n"/>
      <c r="D15" s="306" t="n"/>
    </row>
    <row r="16">
      <c r="A16" s="322" t="inlineStr">
        <is>
          <t>Проверил ______________________        А.В. Костянецкая</t>
        </is>
      </c>
      <c r="B16" s="323" t="n"/>
      <c r="C16" s="323" t="n"/>
      <c r="D16" s="306" t="n"/>
    </row>
    <row r="17">
      <c r="A17" s="324" t="inlineStr">
        <is>
          <t xml:space="preserve">                        (подпись, инициалы, фамилия)</t>
        </is>
      </c>
      <c r="B17" s="323" t="n"/>
      <c r="C17" s="323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M11" sqref="M11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4" t="inlineStr">
        <is>
          <t>Приложение № 10</t>
        </is>
      </c>
    </row>
    <row r="5" ht="18.75" customHeight="1" s="325">
      <c r="B5" s="166" t="n"/>
    </row>
    <row r="6" ht="15.75" customHeight="1" s="325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5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5">
      <c r="B10" s="359" t="n">
        <v>1</v>
      </c>
      <c r="C10" s="359" t="n">
        <v>2</v>
      </c>
      <c r="D10" s="359" t="n">
        <v>3</v>
      </c>
    </row>
    <row r="11" ht="45" customHeight="1" s="325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5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5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5">
      <c r="B14" s="35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9" t="n">
        <v>6.26</v>
      </c>
    </row>
    <row r="15" ht="89.7" customHeight="1" s="325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5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5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95" customHeight="1" s="325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25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25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25">
      <c r="B21" s="253" t="n"/>
    </row>
    <row r="22" ht="18.75" customHeight="1" s="325">
      <c r="B22" s="253" t="n"/>
    </row>
    <row r="23" ht="18.75" customHeight="1" s="325">
      <c r="B23" s="253" t="n"/>
    </row>
    <row r="24" ht="18.75" customHeight="1" s="325">
      <c r="B24" s="253" t="n"/>
    </row>
    <row r="27">
      <c r="B27" s="322" t="inlineStr">
        <is>
          <t>Составил ______________________        Е.А. Князева</t>
        </is>
      </c>
      <c r="C27" s="323" t="n"/>
    </row>
    <row r="28">
      <c r="B28" s="324" t="inlineStr">
        <is>
          <t xml:space="preserve">                         (подпись, инициалы, фамилия)</t>
        </is>
      </c>
      <c r="C28" s="323" t="n"/>
    </row>
    <row r="29">
      <c r="B29" s="322" t="n"/>
      <c r="C29" s="323" t="n"/>
    </row>
    <row r="30">
      <c r="B30" s="322" t="inlineStr">
        <is>
          <t>Проверил ______________________        А.В. Костянецкая</t>
        </is>
      </c>
      <c r="C30" s="323" t="n"/>
    </row>
    <row r="31">
      <c r="B31" s="324" t="inlineStr">
        <is>
          <t xml:space="preserve">                        (подпись, инициалы, фамилия)</t>
        </is>
      </c>
      <c r="C31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M11" sqref="M11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9" t="n"/>
      <c r="D10" s="359" t="n"/>
      <c r="E10" s="452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3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4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2025-01-24T12:04:01Z</dcterms:modified>
  <cp:lastModifiedBy>user1</cp:lastModifiedBy>
</cp:coreProperties>
</file>