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17" min="1" max="2"/>
    <col width="51.6640625" customWidth="1" style="317" min="3" max="3"/>
    <col width="47" customWidth="1" style="317" min="4" max="4"/>
    <col width="37.33203125" customWidth="1" style="317" min="5" max="5"/>
    <col width="9.109375" customWidth="1" style="317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15000000000001" customHeight="1" s="315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5">
      <c r="B6" s="252" t="n"/>
      <c r="C6" s="252" t="n"/>
      <c r="D6" s="252" t="n"/>
    </row>
    <row r="7" ht="64.5" customHeight="1" s="315">
      <c r="B7" s="346" t="inlineStr">
        <is>
          <t>Наименование разрабатываемого показателя УНЦ - КЛ 330 кВ (с алюминиевой жилой) сечение жилы 630 мм2</t>
        </is>
      </c>
    </row>
    <row r="8" ht="31.65" customHeight="1" s="315">
      <c r="B8" s="346" t="inlineStr">
        <is>
          <t>Сопоставимый уровень цен: 4 кв.  2016 г.</t>
        </is>
      </c>
    </row>
    <row r="9" ht="15.75" customHeight="1" s="315">
      <c r="B9" s="346" t="inlineStr">
        <is>
          <t>Единица измерения  — 1 км</t>
        </is>
      </c>
    </row>
    <row r="10">
      <c r="B10" s="346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28" t="n"/>
    </row>
    <row r="12" ht="96.75" customHeight="1" s="315">
      <c r="B12" s="349" t="n">
        <v>1</v>
      </c>
      <c r="C12" s="329" t="inlineStr">
        <is>
          <t>Наименование объекта-представителя</t>
        </is>
      </c>
      <c r="D12" s="349" t="inlineStr">
        <is>
          <t>КВЛ 330 кВ Ленинградская АЭС -2-Пулковская-Южная</t>
        </is>
      </c>
    </row>
    <row r="13">
      <c r="B13" s="349" t="n">
        <v>2</v>
      </c>
      <c r="C13" s="329" t="inlineStr">
        <is>
          <t>Наименование субъекта Российской Федерации</t>
        </is>
      </c>
      <c r="D13" s="349" t="inlineStr">
        <is>
          <t>Ленинградская область</t>
        </is>
      </c>
    </row>
    <row r="14">
      <c r="B14" s="349" t="n">
        <v>3</v>
      </c>
      <c r="C14" s="329" t="inlineStr">
        <is>
          <t>Климатический район и подрайон</t>
        </is>
      </c>
      <c r="D14" s="349" t="inlineStr">
        <is>
          <t>IIВ</t>
        </is>
      </c>
    </row>
    <row r="15">
      <c r="B15" s="349" t="n">
        <v>4</v>
      </c>
      <c r="C15" s="329" t="inlineStr">
        <is>
          <t>Мощность объекта</t>
        </is>
      </c>
      <c r="D15" s="349" t="n">
        <v>1</v>
      </c>
    </row>
    <row r="16" ht="116.4" customHeight="1" s="315">
      <c r="B16" s="34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Кабель алюминиевый 330кВ 3х630</t>
        </is>
      </c>
    </row>
    <row r="17" ht="79.5" customHeight="1" s="315">
      <c r="B17" s="34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3">
        <f>SUM(D18:D21)</f>
        <v/>
      </c>
      <c r="E17" s="251" t="n"/>
    </row>
    <row r="18">
      <c r="B18" s="227" t="inlineStr">
        <is>
          <t>6.1</t>
        </is>
      </c>
      <c r="C18" s="329" t="inlineStr">
        <is>
          <t>строительно-монтажные работы</t>
        </is>
      </c>
      <c r="D18" s="313" t="n">
        <v>24469.56</v>
      </c>
    </row>
    <row r="19" ht="15.75" customHeight="1" s="315">
      <c r="B19" s="227" t="inlineStr">
        <is>
          <t>6.2</t>
        </is>
      </c>
      <c r="C19" s="329" t="inlineStr">
        <is>
          <t>оборудование и инвентарь</t>
        </is>
      </c>
      <c r="D19" s="349" t="inlineStr">
        <is>
          <t>-</t>
        </is>
      </c>
    </row>
    <row r="20" ht="16.5" customHeight="1" s="315">
      <c r="B20" s="227" t="inlineStr">
        <is>
          <t>6.3</t>
        </is>
      </c>
      <c r="C20" s="329" t="inlineStr">
        <is>
          <t>пусконаладочные работы</t>
        </is>
      </c>
      <c r="D20" s="349" t="inlineStr">
        <is>
          <t>-</t>
        </is>
      </c>
    </row>
    <row r="21" ht="35.4" customHeight="1" s="315">
      <c r="B21" s="227" t="inlineStr">
        <is>
          <t>6.4</t>
        </is>
      </c>
      <c r="C21" s="226" t="inlineStr">
        <is>
          <t>прочие и лимитированные затраты</t>
        </is>
      </c>
      <c r="D21" s="349" t="inlineStr">
        <is>
          <t>-</t>
        </is>
      </c>
    </row>
    <row r="22">
      <c r="B22" s="349" t="n">
        <v>7</v>
      </c>
      <c r="C22" s="226" t="inlineStr">
        <is>
          <t>Сопоставимый уровень цен</t>
        </is>
      </c>
      <c r="D22" s="349" t="inlineStr">
        <is>
          <t>4 кв.  2016 г.</t>
        </is>
      </c>
      <c r="E22" s="224" t="n"/>
    </row>
    <row r="23" ht="123" customHeight="1" s="315">
      <c r="B23" s="34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3">
        <f>D17</f>
        <v/>
      </c>
      <c r="E23" s="251" t="n"/>
    </row>
    <row r="24" ht="60.75" customHeight="1" s="315">
      <c r="B24" s="34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3">
        <f>D23/D15</f>
        <v/>
      </c>
      <c r="E24" s="224" t="n"/>
    </row>
    <row r="25" ht="48.15" customHeight="1" s="315">
      <c r="B25" s="349" t="n">
        <v>10</v>
      </c>
      <c r="C25" s="329" t="inlineStr">
        <is>
          <t>Примечание</t>
        </is>
      </c>
      <c r="D25" s="349" t="n"/>
    </row>
    <row r="26">
      <c r="B26" s="222" t="n"/>
      <c r="C26" s="221" t="n"/>
      <c r="D26" s="221" t="n"/>
    </row>
    <row r="27" ht="37.5" customHeight="1" s="315">
      <c r="B27" s="220" t="n"/>
    </row>
    <row r="28">
      <c r="B28" s="317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7" zoomScale="70" zoomScaleNormal="70" workbookViewId="0">
      <selection activeCell="F18" sqref="F18"/>
    </sheetView>
  </sheetViews>
  <sheetFormatPr baseColWidth="8" defaultColWidth="9.109375" defaultRowHeight="15.6"/>
  <cols>
    <col width="5.6640625" customWidth="1" style="317" min="1" max="1"/>
    <col width="9.109375" customWidth="1" style="317" min="2" max="2"/>
    <col width="35.33203125" customWidth="1" style="317" min="3" max="3"/>
    <col width="13.88671875" customWidth="1" style="317" min="4" max="4"/>
    <col width="24.88671875" customWidth="1" style="317" min="5" max="5"/>
    <col width="15.6640625" customWidth="1" style="317" min="6" max="6"/>
    <col width="14.88671875" customWidth="1" style="317" min="7" max="7"/>
    <col width="16.6640625" customWidth="1" style="317" min="8" max="8"/>
    <col width="13" customWidth="1" style="317" min="9" max="10"/>
    <col width="18" customWidth="1" style="317" min="11" max="11"/>
    <col width="9.109375" customWidth="1" style="317" min="12" max="12"/>
  </cols>
  <sheetData>
    <row r="3">
      <c r="B3" s="344" t="inlineStr">
        <is>
          <t>Приложение № 2</t>
        </is>
      </c>
      <c r="K3" s="220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5">
      <c r="B6" s="346">
        <f>'Прил.1 Сравнит табл'!B7:D7</f>
        <v/>
      </c>
    </row>
    <row r="7">
      <c r="B7" s="346">
        <f>'Прил.1 Сравнит табл'!B9:D9</f>
        <v/>
      </c>
    </row>
    <row r="8" ht="18.75" customHeight="1" s="315">
      <c r="B8" s="253" t="n"/>
    </row>
    <row r="9" ht="15.75" customHeight="1" s="315">
      <c r="A9" s="317" t="n"/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  <c r="K9" s="317" t="n"/>
      <c r="L9" s="317" t="n"/>
    </row>
    <row r="10" ht="15.75" customHeight="1" s="315">
      <c r="A10" s="317" t="n"/>
      <c r="B10" s="430" t="n"/>
      <c r="C10" s="430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4 кв. 2016 г., тыс. руб.</t>
        </is>
      </c>
      <c r="G10" s="428" t="n"/>
      <c r="H10" s="428" t="n"/>
      <c r="I10" s="428" t="n"/>
      <c r="J10" s="429" t="n"/>
      <c r="K10" s="317" t="n"/>
      <c r="L10" s="317" t="n"/>
    </row>
    <row r="11" ht="68.40000000000001" customHeight="1" s="315">
      <c r="A11" s="317" t="n"/>
      <c r="B11" s="431" t="n"/>
      <c r="C11" s="431" t="n"/>
      <c r="D11" s="431" t="n"/>
      <c r="E11" s="431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  <c r="K11" s="317" t="n"/>
      <c r="L11" s="317" t="n"/>
    </row>
    <row r="12" ht="91.5" customHeight="1" s="315">
      <c r="A12" s="317" t="n"/>
      <c r="B12" s="318" t="n">
        <v>1</v>
      </c>
      <c r="C12" s="334" t="inlineStr">
        <is>
          <t>Кабель алюминиевый 330кВ 3х630</t>
        </is>
      </c>
      <c r="D12" s="306" t="inlineStr">
        <is>
          <t>02-04-02</t>
        </is>
      </c>
      <c r="E12" s="329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308" t="n"/>
      <c r="G12" s="308">
        <f>24469563.27/1000</f>
        <v/>
      </c>
      <c r="H12" s="308" t="n"/>
      <c r="I12" s="308" t="n"/>
      <c r="J12" s="309">
        <f>SUM(F12:I12)</f>
        <v/>
      </c>
      <c r="K12" s="310" t="n"/>
      <c r="L12" s="310" t="n"/>
    </row>
    <row r="13" ht="15" customHeight="1" s="315">
      <c r="A13" s="317" t="n"/>
      <c r="B13" s="348" t="inlineStr">
        <is>
          <t>Всего по объекту:</t>
        </is>
      </c>
      <c r="C13" s="428" t="n"/>
      <c r="D13" s="428" t="n"/>
      <c r="E13" s="429" t="n"/>
      <c r="F13" s="312" t="n"/>
      <c r="G13" s="312">
        <f>G12</f>
        <v/>
      </c>
      <c r="H13" s="312" t="n"/>
      <c r="I13" s="312" t="n"/>
      <c r="J13" s="312">
        <f>J12</f>
        <v/>
      </c>
      <c r="K13" s="310" t="n"/>
      <c r="L13" s="310" t="n"/>
    </row>
    <row r="14" ht="15.75" customHeight="1" s="315">
      <c r="A14" s="317" t="n"/>
      <c r="B14" s="348" t="inlineStr">
        <is>
          <t>Всего по объекту в сопоставимом уровне цен 4 кв. 2016 г. :</t>
        </is>
      </c>
      <c r="C14" s="428" t="n"/>
      <c r="D14" s="428" t="n"/>
      <c r="E14" s="429" t="n"/>
      <c r="F14" s="312" t="n"/>
      <c r="G14" s="312">
        <f>G13</f>
        <v/>
      </c>
      <c r="H14" s="312" t="n"/>
      <c r="I14" s="312" t="n"/>
      <c r="J14" s="312">
        <f>J13</f>
        <v/>
      </c>
      <c r="K14" s="317" t="n"/>
      <c r="L14" s="310" t="n"/>
    </row>
    <row r="15" ht="15" customHeight="1" s="315">
      <c r="A15" s="317" t="n"/>
      <c r="B15" s="317" t="n"/>
      <c r="C15" s="317" t="n"/>
      <c r="D15" s="317" t="n"/>
      <c r="E15" s="317" t="n"/>
      <c r="F15" s="317" t="n"/>
      <c r="G15" s="317" t="n"/>
      <c r="H15" s="317" t="n"/>
      <c r="I15" s="317" t="n"/>
      <c r="J15" s="317" t="n"/>
      <c r="K15" s="317" t="n"/>
      <c r="L15" s="317" t="n"/>
    </row>
    <row r="16" ht="15" customHeight="1" s="315">
      <c r="A16" s="317" t="n"/>
      <c r="B16" s="317" t="n"/>
      <c r="C16" s="317" t="n"/>
      <c r="D16" s="317" t="n"/>
      <c r="E16" s="317" t="n"/>
      <c r="F16" s="317" t="n"/>
      <c r="G16" s="317" t="n"/>
      <c r="H16" s="317" t="n"/>
      <c r="I16" s="317" t="n"/>
      <c r="J16" s="317" t="n"/>
      <c r="K16" s="317" t="n"/>
      <c r="L16" s="317" t="n"/>
    </row>
    <row r="17" ht="15" customHeight="1" s="315">
      <c r="A17" s="317" t="n"/>
      <c r="B17" s="317" t="n"/>
      <c r="C17" s="317" t="n"/>
      <c r="D17" s="317" t="n"/>
      <c r="E17" s="317" t="n"/>
      <c r="F17" s="317" t="n"/>
      <c r="G17" s="317" t="n"/>
      <c r="H17" s="317" t="n"/>
      <c r="I17" s="317" t="n"/>
      <c r="J17" s="317" t="n"/>
      <c r="K17" s="317" t="n"/>
      <c r="L17" s="317" t="n"/>
    </row>
    <row r="18" ht="15" customHeight="1" s="315">
      <c r="A18" s="317" t="n"/>
      <c r="B18" s="317" t="n"/>
      <c r="C18" s="294" t="inlineStr">
        <is>
          <t>Составил ______________________     А.Р. Маркова</t>
        </is>
      </c>
      <c r="D18" s="301" t="n"/>
      <c r="E18" s="301" t="n"/>
      <c r="F18" s="317" t="n"/>
      <c r="G18" s="317" t="n"/>
      <c r="H18" s="317" t="n"/>
      <c r="I18" s="317" t="n"/>
      <c r="J18" s="317" t="n"/>
      <c r="K18" s="317" t="n"/>
      <c r="L18" s="317" t="n"/>
    </row>
    <row r="19" ht="15" customHeight="1" s="315">
      <c r="A19" s="317" t="n"/>
      <c r="B19" s="317" t="n"/>
      <c r="C19" s="302" t="inlineStr">
        <is>
          <t xml:space="preserve">                         (подпись, инициалы, фамилия)</t>
        </is>
      </c>
      <c r="D19" s="301" t="n"/>
      <c r="E19" s="301" t="n"/>
      <c r="F19" s="317" t="n"/>
      <c r="G19" s="317" t="n"/>
      <c r="H19" s="317" t="n"/>
      <c r="I19" s="317" t="n"/>
      <c r="J19" s="317" t="n"/>
      <c r="K19" s="317" t="n"/>
      <c r="L19" s="317" t="n"/>
    </row>
    <row r="20" ht="15" customHeight="1" s="315">
      <c r="A20" s="317" t="n"/>
      <c r="B20" s="317" t="n"/>
      <c r="C20" s="294" t="n"/>
      <c r="D20" s="301" t="n"/>
      <c r="E20" s="301" t="n"/>
      <c r="F20" s="317" t="n"/>
      <c r="G20" s="317" t="n"/>
      <c r="H20" s="317" t="n"/>
      <c r="I20" s="317" t="n"/>
      <c r="J20" s="317" t="n"/>
      <c r="K20" s="317" t="n"/>
      <c r="L20" s="317" t="n"/>
    </row>
    <row r="21" ht="15" customHeight="1" s="315">
      <c r="A21" s="317" t="n"/>
      <c r="B21" s="317" t="n"/>
      <c r="C21" s="294" t="inlineStr">
        <is>
          <t>Проверил ______________________        А.В. Костянецкая</t>
        </is>
      </c>
      <c r="D21" s="301" t="n"/>
      <c r="E21" s="301" t="n"/>
      <c r="F21" s="317" t="n"/>
      <c r="G21" s="317" t="n"/>
      <c r="H21" s="317" t="n"/>
      <c r="I21" s="317" t="n"/>
      <c r="J21" s="317" t="n"/>
      <c r="K21" s="317" t="n"/>
      <c r="L21" s="317" t="n"/>
    </row>
    <row r="22" ht="15" customHeight="1" s="315">
      <c r="A22" s="317" t="n"/>
      <c r="B22" s="317" t="n"/>
      <c r="C22" s="302" t="inlineStr">
        <is>
          <t xml:space="preserve">                        (подпись, инициалы, фамилия)</t>
        </is>
      </c>
      <c r="D22" s="301" t="n"/>
      <c r="E22" s="301" t="n"/>
      <c r="F22" s="317" t="n"/>
      <c r="G22" s="317" t="n"/>
      <c r="H22" s="317" t="n"/>
      <c r="I22" s="317" t="n"/>
      <c r="J22" s="317" t="n"/>
      <c r="K22" s="317" t="n"/>
      <c r="L22" s="317" t="n"/>
    </row>
    <row r="23" ht="15" customHeight="1" s="315">
      <c r="A23" s="317" t="n"/>
      <c r="B23" s="317" t="n"/>
      <c r="C23" s="317" t="n"/>
      <c r="D23" s="317" t="n"/>
      <c r="E23" s="317" t="n"/>
      <c r="F23" s="317" t="n"/>
      <c r="G23" s="317" t="n"/>
      <c r="H23" s="317" t="n"/>
      <c r="I23" s="317" t="n"/>
      <c r="J23" s="317" t="n"/>
      <c r="K23" s="317" t="n"/>
      <c r="L23" s="317" t="n"/>
    </row>
    <row r="24" ht="15" customHeight="1" s="315">
      <c r="A24" s="317" t="n"/>
      <c r="B24" s="317" t="n"/>
      <c r="C24" s="317" t="n"/>
      <c r="D24" s="317" t="n"/>
      <c r="E24" s="317" t="n"/>
      <c r="F24" s="317" t="n"/>
      <c r="G24" s="317" t="n"/>
      <c r="H24" s="317" t="n"/>
      <c r="I24" s="317" t="n"/>
      <c r="J24" s="317" t="n"/>
      <c r="K24" s="317" t="n"/>
      <c r="L24" s="317" t="n"/>
    </row>
    <row r="25" ht="15" customHeight="1" s="315">
      <c r="A25" s="317" t="n"/>
      <c r="B25" s="317" t="n"/>
      <c r="C25" s="317" t="n"/>
      <c r="D25" s="317" t="n"/>
      <c r="E25" s="317" t="n"/>
      <c r="F25" s="317" t="n"/>
      <c r="G25" s="317" t="n"/>
      <c r="H25" s="317" t="n"/>
      <c r="I25" s="317" t="n"/>
      <c r="J25" s="317" t="n"/>
      <c r="K25" s="317" t="n"/>
      <c r="L25" s="317" t="n"/>
    </row>
    <row r="26" ht="15" customHeight="1" s="315"/>
    <row r="27" ht="15" customHeight="1" s="315"/>
    <row r="28" ht="15" customHeight="1" s="315"/>
    <row r="29" ht="15" customHeight="1" s="315"/>
    <row r="30" ht="15" customHeight="1" s="3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3" zoomScale="85" workbookViewId="0">
      <selection activeCell="E30" sqref="E30"/>
    </sheetView>
  </sheetViews>
  <sheetFormatPr baseColWidth="8" defaultColWidth="9.109375" defaultRowHeight="15.6"/>
  <cols>
    <col width="9.109375" customWidth="1" style="317" min="1" max="1"/>
    <col width="12.6640625" customWidth="1" style="317" min="2" max="2"/>
    <col width="22.33203125" customWidth="1" style="317" min="3" max="3"/>
    <col width="49.6640625" customWidth="1" style="317" min="4" max="4"/>
    <col width="10.109375" customWidth="1" style="317" min="5" max="5"/>
    <col width="20.6640625" customWidth="1" style="317" min="6" max="6"/>
    <col width="20" customWidth="1" style="317" min="7" max="7"/>
    <col width="16.6640625" customWidth="1" style="317" min="8" max="8"/>
    <col width="9.109375" customWidth="1" style="317" min="9" max="10"/>
    <col width="15" customWidth="1" style="317" min="11" max="11"/>
    <col width="9.109375" customWidth="1" style="317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15">
      <c r="A4" s="263" t="n"/>
      <c r="B4" s="263" t="n"/>
      <c r="C4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54" t="inlineStr">
        <is>
          <t>Наименование разрабатываемого показателя УНЦ -  КЛ 330 кВ (с алюминиевой жилой) сечение жилы 630 мм2</t>
        </is>
      </c>
    </row>
    <row r="7">
      <c r="A7" s="354" t="n"/>
      <c r="B7" s="354" t="n"/>
      <c r="C7" s="354" t="n"/>
      <c r="D7" s="354" t="n"/>
      <c r="E7" s="354" t="n"/>
      <c r="F7" s="354" t="n"/>
      <c r="G7" s="354" t="n"/>
      <c r="H7" s="354" t="n"/>
    </row>
    <row r="8" ht="38.25" customHeight="1" s="315">
      <c r="A8" s="349" t="inlineStr">
        <is>
          <t>п/п</t>
        </is>
      </c>
      <c r="B8" s="349" t="inlineStr">
        <is>
          <t>№ЛСР</t>
        </is>
      </c>
      <c r="C8" s="349" t="inlineStr">
        <is>
          <t>Код ресурса</t>
        </is>
      </c>
      <c r="D8" s="349" t="inlineStr">
        <is>
          <t>Наименование ресурса</t>
        </is>
      </c>
      <c r="E8" s="349" t="inlineStr">
        <is>
          <t>Ед. изм.</t>
        </is>
      </c>
      <c r="F8" s="349" t="inlineStr">
        <is>
          <t>Кол-во единиц по данным объекта-представителя</t>
        </is>
      </c>
      <c r="G8" s="349" t="inlineStr">
        <is>
          <t>Сметная стоимость в ценах на 01.01.2000 (руб.)</t>
        </is>
      </c>
      <c r="H8" s="429" t="n"/>
    </row>
    <row r="9" ht="40.65" customHeight="1" s="315">
      <c r="A9" s="431" t="n"/>
      <c r="B9" s="431" t="n"/>
      <c r="C9" s="431" t="n"/>
      <c r="D9" s="431" t="n"/>
      <c r="E9" s="431" t="n"/>
      <c r="F9" s="431" t="n"/>
      <c r="G9" s="349" t="inlineStr">
        <is>
          <t>на ед.изм.</t>
        </is>
      </c>
      <c r="H9" s="349" t="inlineStr">
        <is>
          <t>общая</t>
        </is>
      </c>
    </row>
    <row r="10">
      <c r="A10" s="334" t="n">
        <v>1</v>
      </c>
      <c r="B10" s="334" t="n"/>
      <c r="C10" s="334" t="n">
        <v>2</v>
      </c>
      <c r="D10" s="334" t="inlineStr">
        <is>
          <t>З</t>
        </is>
      </c>
      <c r="E10" s="334" t="n">
        <v>4</v>
      </c>
      <c r="F10" s="334" t="n">
        <v>5</v>
      </c>
      <c r="G10" s="334" t="n">
        <v>6</v>
      </c>
      <c r="H10" s="334" t="n">
        <v>7</v>
      </c>
    </row>
    <row r="11" customFormat="1" s="232">
      <c r="A11" s="351" t="inlineStr">
        <is>
          <t>Затраты труда рабочих</t>
        </is>
      </c>
      <c r="B11" s="428" t="n"/>
      <c r="C11" s="428" t="n"/>
      <c r="D11" s="428" t="n"/>
      <c r="E11" s="429" t="n"/>
      <c r="F11" s="432">
        <f>SUM(F12:F12)</f>
        <v/>
      </c>
      <c r="G11" s="259" t="n"/>
      <c r="H11" s="432">
        <f>SUM(H12:H12)</f>
        <v/>
      </c>
    </row>
    <row r="12">
      <c r="A12" s="382" t="n">
        <v>1</v>
      </c>
      <c r="B12" s="235" t="n"/>
      <c r="C12" s="267" t="inlineStr">
        <is>
          <t>1-4-0</t>
        </is>
      </c>
      <c r="D12" s="271" t="inlineStr">
        <is>
          <t>Затраты труда рабочих (средний разряд работы 4)</t>
        </is>
      </c>
      <c r="E12" s="382" t="inlineStr">
        <is>
          <t>чел.-ч</t>
        </is>
      </c>
      <c r="F12" s="361" t="n">
        <v>1174.8</v>
      </c>
      <c r="G12" s="433" t="n">
        <v>9.619999999999999</v>
      </c>
      <c r="H12" s="254">
        <f>ROUND(F12*G12,2)</f>
        <v/>
      </c>
      <c r="M12" s="434" t="n"/>
    </row>
    <row r="13">
      <c r="A13" s="350" t="inlineStr">
        <is>
          <t>Затраты труда машинистов</t>
        </is>
      </c>
      <c r="B13" s="428" t="n"/>
      <c r="C13" s="428" t="n"/>
      <c r="D13" s="428" t="n"/>
      <c r="E13" s="429" t="n"/>
      <c r="F13" s="351" t="n"/>
      <c r="G13" s="233" t="n"/>
      <c r="H13" s="432">
        <f>H14</f>
        <v/>
      </c>
    </row>
    <row r="14">
      <c r="A14" s="382" t="n">
        <v>2</v>
      </c>
      <c r="B14" s="352" t="n"/>
      <c r="C14" s="270" t="n">
        <v>2</v>
      </c>
      <c r="D14" s="271" t="inlineStr">
        <is>
          <t>Затраты труда машинистов</t>
        </is>
      </c>
      <c r="E14" s="382" t="inlineStr">
        <is>
          <t>чел.-ч</t>
        </is>
      </c>
      <c r="F14" s="382" t="n">
        <v>82.7</v>
      </c>
      <c r="G14" s="254" t="n"/>
      <c r="H14" s="433" t="n">
        <v>969.6</v>
      </c>
    </row>
    <row r="15" customFormat="1" s="232">
      <c r="A15" s="351" t="inlineStr">
        <is>
          <t>Машины и механизмы</t>
        </is>
      </c>
      <c r="B15" s="428" t="n"/>
      <c r="C15" s="428" t="n"/>
      <c r="D15" s="428" t="n"/>
      <c r="E15" s="429" t="n"/>
      <c r="F15" s="351" t="n"/>
      <c r="G15" s="233" t="n"/>
      <c r="H15" s="432">
        <f>SUM(H16:H25)</f>
        <v/>
      </c>
    </row>
    <row r="16" ht="25.5" customHeight="1" s="315">
      <c r="A16" s="382" t="n">
        <v>3</v>
      </c>
      <c r="B16" s="352" t="n"/>
      <c r="C16" s="270" t="inlineStr">
        <is>
          <t>91.05.05-018</t>
        </is>
      </c>
      <c r="D16" s="271" t="inlineStr">
        <is>
          <t>Краны на автомобильном ходу, грузоподъемность 63 т</t>
        </is>
      </c>
      <c r="E16" s="382" t="inlineStr">
        <is>
          <t>маш.час</t>
        </is>
      </c>
      <c r="F16" s="382" t="n">
        <v>15.6</v>
      </c>
      <c r="G16" s="273" t="n">
        <v>823.23</v>
      </c>
      <c r="H16" s="254">
        <f>ROUND(F16*G16,2)</f>
        <v/>
      </c>
      <c r="I16" s="279" t="n"/>
      <c r="J16" s="279" t="n"/>
      <c r="L16" s="279" t="n"/>
    </row>
    <row r="17" ht="25.5" customFormat="1" customHeight="1" s="232">
      <c r="A17" s="382" t="n">
        <v>4</v>
      </c>
      <c r="B17" s="352" t="n"/>
      <c r="C17" s="270" t="inlineStr">
        <is>
          <t>91.06.03-012</t>
        </is>
      </c>
      <c r="D17" s="271" t="inlineStr">
        <is>
          <t>Лебедки-прицепы гидравлические для протяжки кабеля, тяговое усилие 10 т</t>
        </is>
      </c>
      <c r="E17" s="382" t="inlineStr">
        <is>
          <t>маш.час</t>
        </is>
      </c>
      <c r="F17" s="382" t="n">
        <v>28.1</v>
      </c>
      <c r="G17" s="273" t="n">
        <v>244.95</v>
      </c>
      <c r="H17" s="254">
        <f>ROUND(F17*G17,2)</f>
        <v/>
      </c>
      <c r="I17" s="279" t="n"/>
      <c r="J17" s="279" t="n"/>
      <c r="K17" s="280" t="n"/>
      <c r="L17" s="279" t="n"/>
    </row>
    <row r="18">
      <c r="A18" s="382" t="n">
        <v>5</v>
      </c>
      <c r="B18" s="352" t="n"/>
      <c r="C18" s="270" t="inlineStr">
        <is>
          <t>91.14.04-003</t>
        </is>
      </c>
      <c r="D18" s="271" t="inlineStr">
        <is>
          <t>Тягачи седельные, грузоподъемность 30 т</t>
        </is>
      </c>
      <c r="E18" s="382" t="inlineStr">
        <is>
          <t>маш.час</t>
        </is>
      </c>
      <c r="F18" s="382" t="n">
        <v>12.5</v>
      </c>
      <c r="G18" s="273" t="n">
        <v>120.31</v>
      </c>
      <c r="H18" s="254">
        <f>ROUND(F18*G18,2)</f>
        <v/>
      </c>
      <c r="I18" s="279" t="n"/>
      <c r="J18" s="279" t="n"/>
      <c r="L18" s="279" t="n"/>
    </row>
    <row r="19" ht="25.5" customHeight="1" s="315">
      <c r="A19" s="382" t="n">
        <v>6</v>
      </c>
      <c r="B19" s="352" t="n"/>
      <c r="C19" s="270" t="inlineStr">
        <is>
          <t>91.05.13-001</t>
        </is>
      </c>
      <c r="D19" s="271" t="inlineStr">
        <is>
          <t>Автомобили бортовые, грузоподъемность до 6 т, с краном-манипулятором-4,0 т</t>
        </is>
      </c>
      <c r="E19" s="382" t="inlineStr">
        <is>
          <t>маш.час</t>
        </is>
      </c>
      <c r="F19" s="382" t="n">
        <v>1.8</v>
      </c>
      <c r="G19" s="273" t="n">
        <v>288.03</v>
      </c>
      <c r="H19" s="254">
        <f>ROUND(F19*G19,2)</f>
        <v/>
      </c>
      <c r="I19" s="279" t="n"/>
      <c r="J19" s="279" t="n"/>
      <c r="L19" s="279" t="n"/>
    </row>
    <row r="20" ht="25.5" customHeight="1" s="315">
      <c r="A20" s="382" t="n">
        <v>7</v>
      </c>
      <c r="B20" s="352" t="n"/>
      <c r="C20" s="270" t="inlineStr">
        <is>
          <t>91.11.01-021</t>
        </is>
      </c>
      <c r="D20" s="271" t="inlineStr">
        <is>
          <t>Устройства подталкивающие для протяжки кабеля, тяговое усилие 800 кг</t>
        </is>
      </c>
      <c r="E20" s="382" t="inlineStr">
        <is>
          <t>маш.час</t>
        </is>
      </c>
      <c r="F20" s="382" t="n">
        <v>19.9</v>
      </c>
      <c r="G20" s="273" t="n">
        <v>25.37</v>
      </c>
      <c r="H20" s="254">
        <f>ROUND(F20*G20,2)</f>
        <v/>
      </c>
      <c r="I20" s="279" t="n"/>
      <c r="J20" s="279" t="n"/>
      <c r="L20" s="279" t="n"/>
    </row>
    <row r="21">
      <c r="A21" s="382" t="n">
        <v>8</v>
      </c>
      <c r="B21" s="352" t="n"/>
      <c r="C21" s="270" t="inlineStr">
        <is>
          <t>91.14.05-002</t>
        </is>
      </c>
      <c r="D21" s="271" t="inlineStr">
        <is>
          <t>Полуприцепы-тяжеловозы, грузоподъемность 40 т</t>
        </is>
      </c>
      <c r="E21" s="382" t="inlineStr">
        <is>
          <t>маш.час</t>
        </is>
      </c>
      <c r="F21" s="382" t="n">
        <v>12.5</v>
      </c>
      <c r="G21" s="273" t="n">
        <v>28.65</v>
      </c>
      <c r="H21" s="254">
        <f>ROUND(F21*G21,2)</f>
        <v/>
      </c>
      <c r="I21" s="279" t="n"/>
      <c r="J21" s="279" t="n"/>
      <c r="L21" s="279" t="n"/>
    </row>
    <row r="22">
      <c r="A22" s="382" t="n">
        <v>9</v>
      </c>
      <c r="B22" s="352" t="n"/>
      <c r="C22" s="270" t="inlineStr">
        <is>
          <t>91.16.01-002</t>
        </is>
      </c>
      <c r="D22" s="271" t="inlineStr">
        <is>
          <t>Электростанции передвижные, мощность 4 кВт</t>
        </is>
      </c>
      <c r="E22" s="382" t="inlineStr">
        <is>
          <t>маш.час</t>
        </is>
      </c>
      <c r="F22" s="382" t="n">
        <v>9.1</v>
      </c>
      <c r="G22" s="273" t="n">
        <v>27.11</v>
      </c>
      <c r="H22" s="254">
        <f>ROUND(F22*G22,2)</f>
        <v/>
      </c>
      <c r="I22" s="279" t="n"/>
      <c r="J22" s="279" t="n"/>
    </row>
    <row r="23">
      <c r="A23" s="382" t="n">
        <v>10</v>
      </c>
      <c r="B23" s="352" t="n"/>
      <c r="C23" s="270" t="inlineStr">
        <is>
          <t>91.17.04-091</t>
        </is>
      </c>
      <c r="D23" s="271" t="inlineStr">
        <is>
          <t>Горелки газовые инжекторные</t>
        </is>
      </c>
      <c r="E23" s="382" t="inlineStr">
        <is>
          <t>маш.час</t>
        </is>
      </c>
      <c r="F23" s="382" t="n">
        <v>9.1</v>
      </c>
      <c r="G23" s="273" t="n">
        <v>13.5</v>
      </c>
      <c r="H23" s="254">
        <f>ROUND(F23*G23,2)</f>
        <v/>
      </c>
      <c r="J23" s="279" t="n"/>
    </row>
    <row r="24">
      <c r="A24" s="382" t="n">
        <v>11</v>
      </c>
      <c r="B24" s="352" t="n"/>
      <c r="C24" s="270" t="inlineStr">
        <is>
          <t>91.21.15-022</t>
        </is>
      </c>
      <c r="D24" s="271" t="inlineStr">
        <is>
          <t>Пилы ленточные с поворотной пилорамой</t>
        </is>
      </c>
      <c r="E24" s="382" t="inlineStr">
        <is>
          <t>маш.час</t>
        </is>
      </c>
      <c r="F24" s="382" t="n">
        <v>9.1</v>
      </c>
      <c r="G24" s="273" t="n">
        <v>3.31</v>
      </c>
      <c r="H24" s="254">
        <f>ROUND(F24*G24,2)</f>
        <v/>
      </c>
      <c r="J24" s="279" t="n"/>
    </row>
    <row r="25" ht="26.4" customHeight="1" s="315">
      <c r="A25" s="382" t="n">
        <v>12</v>
      </c>
      <c r="B25" s="352" t="n"/>
      <c r="C25" s="270" t="inlineStr">
        <is>
          <t>91.06.01-002</t>
        </is>
      </c>
      <c r="D25" s="271" t="inlineStr">
        <is>
          <t>Домкраты гидравлические, грузоподъемность 6,3-25 т</t>
        </is>
      </c>
      <c r="E25" s="382" t="inlineStr">
        <is>
          <t>маш.час</t>
        </is>
      </c>
      <c r="F25" s="382" t="n">
        <v>46.7</v>
      </c>
      <c r="G25" s="273" t="n">
        <v>0.48</v>
      </c>
      <c r="H25" s="254">
        <f>ROUND(F25*G25,2)</f>
        <v/>
      </c>
      <c r="J25" s="279" t="n"/>
    </row>
    <row r="26">
      <c r="A26" s="351" t="inlineStr">
        <is>
          <t>Материалы</t>
        </is>
      </c>
      <c r="B26" s="428" t="n"/>
      <c r="C26" s="428" t="n"/>
      <c r="D26" s="428" t="n"/>
      <c r="E26" s="429" t="n"/>
      <c r="F26" s="351" t="n"/>
      <c r="G26" s="233" t="n"/>
      <c r="H26" s="432">
        <f>SUM(H27:H28)</f>
        <v/>
      </c>
    </row>
    <row r="27">
      <c r="A27" s="284" t="n">
        <v>13</v>
      </c>
      <c r="B27" s="284" t="n"/>
      <c r="C27" s="382" t="inlineStr">
        <is>
          <t>Прайс из СД ОП</t>
        </is>
      </c>
      <c r="D27" s="281" t="inlineStr">
        <is>
          <t>Кабель алюминиевый 330кВ 3х630</t>
        </is>
      </c>
      <c r="E27" s="382" t="inlineStr">
        <is>
          <t>км</t>
        </is>
      </c>
      <c r="F27" s="382" t="n">
        <v>3.3</v>
      </c>
      <c r="G27" s="281" t="n">
        <v>1190137.088</v>
      </c>
      <c r="H27" s="254">
        <f>ROUND(F27*G27,2)</f>
        <v/>
      </c>
    </row>
    <row r="28">
      <c r="A28" s="284" t="n">
        <v>14</v>
      </c>
      <c r="B28" s="352" t="n"/>
      <c r="C28" s="270" t="inlineStr">
        <is>
          <t>01.3.02.09-0022</t>
        </is>
      </c>
      <c r="D28" s="271" t="inlineStr">
        <is>
          <t>Пропан-бутан смесь техническая</t>
        </is>
      </c>
      <c r="E28" s="382" t="inlineStr">
        <is>
          <t>кг</t>
        </is>
      </c>
      <c r="F28" s="382" t="n">
        <v>3.586</v>
      </c>
      <c r="G28" s="254" t="n">
        <v>6.09</v>
      </c>
      <c r="H28" s="254">
        <f>ROUND(F28*G28,2)</f>
        <v/>
      </c>
      <c r="I28" s="257" t="n"/>
      <c r="J28" s="279" t="n"/>
      <c r="K28" s="279" t="n"/>
    </row>
    <row r="31">
      <c r="B31" s="317" t="inlineStr">
        <is>
          <t>Составил ______________________     А.Р. Маркова</t>
        </is>
      </c>
    </row>
    <row r="32">
      <c r="B32" s="220" t="inlineStr">
        <is>
          <t xml:space="preserve">                         (подпись, инициалы, фамилия)</t>
        </is>
      </c>
    </row>
    <row r="34">
      <c r="B34" s="317" t="inlineStr">
        <is>
          <t>Проверил ______________________        А.В. Костянецкая</t>
        </is>
      </c>
    </row>
    <row r="35">
      <c r="B35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09375" defaultRowHeight="14.4"/>
  <cols>
    <col width="4.109375" customWidth="1" style="315" min="1" max="1"/>
    <col width="36.33203125" customWidth="1" style="315" min="2" max="2"/>
    <col width="18.88671875" customWidth="1" style="315" min="3" max="3"/>
    <col width="18.33203125" customWidth="1" style="315" min="4" max="4"/>
    <col width="18.88671875" customWidth="1" style="315" min="5" max="5"/>
    <col width="11.33203125" customWidth="1" style="315" min="6" max="6"/>
    <col width="14.33203125" customWidth="1" style="315" min="7" max="7"/>
    <col width="9.109375" customWidth="1" style="315" min="8" max="11"/>
    <col width="13.6640625" customWidth="1" style="315" min="12" max="12"/>
    <col width="9.109375" customWidth="1" style="315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77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7" t="inlineStr">
        <is>
          <t>Ресурсная модель</t>
        </is>
      </c>
    </row>
    <row r="6">
      <c r="B6" s="247" t="n"/>
      <c r="C6" s="294" t="n"/>
      <c r="D6" s="294" t="n"/>
      <c r="E6" s="294" t="n"/>
    </row>
    <row r="7" ht="25.5" customHeight="1" s="315">
      <c r="B7" s="356" t="inlineStr">
        <is>
          <t>Наименование разрабатываемого показателя УНЦ — КЛ 330 кВ (с алюминиевой жилой) сечение жилы 630 мм2</t>
        </is>
      </c>
    </row>
    <row r="8">
      <c r="B8" s="357" t="inlineStr">
        <is>
          <t>Единица измерения  — 1 км</t>
        </is>
      </c>
    </row>
    <row r="9">
      <c r="B9" s="247" t="n"/>
      <c r="C9" s="294" t="n"/>
      <c r="D9" s="294" t="n"/>
      <c r="E9" s="294" t="n"/>
    </row>
    <row r="10" ht="51" customHeight="1" s="315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6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6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6">
        <f>'Прил.5 Расчет СМР и ОБ'!J31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6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6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6">
        <f>'Прил.5 Расчет СМР и ОБ'!J42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6">
        <f>'Прил.5 Расчет СМР и ОБ'!J44</f>
        <v/>
      </c>
      <c r="D17" s="241">
        <f>C17/$C$24</f>
        <v/>
      </c>
      <c r="E17" s="241">
        <f>C17/$C$40</f>
        <v/>
      </c>
      <c r="G17" s="435" t="n"/>
    </row>
    <row r="18">
      <c r="B18" s="239" t="inlineStr">
        <is>
          <t>МАТЕРИАЛЫ, ВСЕГО:</t>
        </is>
      </c>
      <c r="C18" s="296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6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6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6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ОБ'!D47</f>
        <v/>
      </c>
      <c r="D23" s="241" t="n"/>
      <c r="E23" s="239" t="n"/>
    </row>
    <row r="24">
      <c r="B24" s="239" t="inlineStr">
        <is>
          <t>ВСЕГО СМР с НР и СП</t>
        </is>
      </c>
      <c r="C24" s="296">
        <f>C19+C20+C22</f>
        <v/>
      </c>
      <c r="D24" s="241">
        <f>C24/$C$24</f>
        <v/>
      </c>
      <c r="E24" s="241">
        <f>C24/$C$40</f>
        <v/>
      </c>
    </row>
    <row r="25" ht="25.5" customHeight="1" s="315">
      <c r="B25" s="239" t="inlineStr">
        <is>
          <t>ВСЕГО стоимость оборудования, в том числе</t>
        </is>
      </c>
      <c r="C25" s="296">
        <f>'Прил.5 Расчет СМР и ОБ'!J37</f>
        <v/>
      </c>
      <c r="D25" s="241" t="n"/>
      <c r="E25" s="241">
        <f>C25/$C$40</f>
        <v/>
      </c>
    </row>
    <row r="26" ht="25.5" customHeight="1" s="315">
      <c r="B26" s="239" t="inlineStr">
        <is>
          <t>стоимость оборудования технологического</t>
        </is>
      </c>
      <c r="C26" s="296">
        <f>'Прил.5 Расчет СМР и ОБ'!J38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5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5" t="n">
        <v>0</v>
      </c>
      <c r="D31" s="239" t="n"/>
      <c r="E31" s="241">
        <f>C31/$C$40</f>
        <v/>
      </c>
    </row>
    <row r="32" ht="25.5" customHeight="1" s="315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5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7" t="n"/>
    </row>
    <row r="35" ht="76.65000000000001" customHeight="1" s="31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5">
      <c r="B38" s="239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39" t="n"/>
      <c r="E38" s="241">
        <f>C38/$C$40</f>
        <v/>
      </c>
    </row>
    <row r="39" ht="13.65" customHeight="1" s="315">
      <c r="B39" s="239" t="inlineStr">
        <is>
          <t>Непредвиденные расходы</t>
        </is>
      </c>
      <c r="C39" s="296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6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6">
        <f>C40/'Прил.5 Расчет СМР и ОБ'!E51</f>
        <v/>
      </c>
      <c r="D41" s="239" t="n"/>
      <c r="E41" s="239" t="n"/>
    </row>
    <row r="42">
      <c r="B42" s="298" t="n"/>
      <c r="C42" s="294" t="n"/>
      <c r="D42" s="294" t="n"/>
      <c r="E42" s="294" t="n"/>
    </row>
    <row r="43">
      <c r="B43" s="298" t="inlineStr">
        <is>
          <t>Составил ____________________________ А.Р. Маркова</t>
        </is>
      </c>
      <c r="C43" s="294" t="n"/>
      <c r="D43" s="294" t="n"/>
      <c r="E43" s="294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57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33" workbookViewId="0">
      <selection activeCell="C53" sqref="C53"/>
    </sheetView>
  </sheetViews>
  <sheetFormatPr baseColWidth="8" defaultColWidth="9.109375" defaultRowHeight="14.4" outlineLevelRow="1"/>
  <cols>
    <col width="5.6640625" customWidth="1" style="301" min="1" max="1"/>
    <col width="22.6640625" customWidth="1" style="301" min="2" max="2"/>
    <col width="39.109375" customWidth="1" style="301" min="3" max="3"/>
    <col width="10.6640625" customWidth="1" style="301" min="4" max="4"/>
    <col width="12.6640625" customWidth="1" style="301" min="5" max="5"/>
    <col width="15" customWidth="1" style="301" min="6" max="6"/>
    <col width="13.33203125" customWidth="1" style="301" min="7" max="7"/>
    <col width="12.6640625" customWidth="1" style="301" min="8" max="8"/>
    <col width="13.88671875" customWidth="1" style="301" min="9" max="9"/>
    <col width="17.6640625" customWidth="1" style="301" min="10" max="10"/>
    <col width="10.88671875" customWidth="1" style="301" min="11" max="11"/>
    <col width="9.109375" customWidth="1" style="301" min="12" max="12"/>
    <col width="9.109375" customWidth="1" style="315" min="13" max="13"/>
  </cols>
  <sheetData>
    <row r="1" s="315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15">
      <c r="A2" s="301" t="n"/>
      <c r="B2" s="301" t="n"/>
      <c r="C2" s="301" t="n"/>
      <c r="D2" s="301" t="n"/>
      <c r="E2" s="301" t="n"/>
      <c r="F2" s="301" t="n"/>
      <c r="G2" s="301" t="n"/>
      <c r="H2" s="358" t="inlineStr">
        <is>
          <t>Приложение №5</t>
        </is>
      </c>
      <c r="K2" s="301" t="n"/>
      <c r="L2" s="301" t="n"/>
      <c r="M2" s="301" t="n"/>
      <c r="N2" s="301" t="n"/>
    </row>
    <row r="3" s="315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4">
      <c r="A4" s="337" t="inlineStr">
        <is>
          <t>Расчет стоимости СМР и оборудования</t>
        </is>
      </c>
    </row>
    <row r="5" ht="12.75" customFormat="1" customHeight="1" s="294">
      <c r="A5" s="337" t="n"/>
      <c r="B5" s="337" t="n"/>
      <c r="C5" s="384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4">
      <c r="A6" s="207" t="inlineStr">
        <is>
          <t>Наименование разрабатываемого показателя УНЦ</t>
        </is>
      </c>
      <c r="B6" s="206" t="n"/>
      <c r="C6" s="206" t="n"/>
      <c r="D6" s="364" t="inlineStr">
        <is>
          <t>КЛ 330 кВ (с алюминиевой жилой) сечение жилы 630 мм2</t>
        </is>
      </c>
    </row>
    <row r="7" ht="12.75" customFormat="1" customHeight="1" s="294">
      <c r="A7" s="340" t="inlineStr">
        <is>
          <t>Единица измерения  — 1 км</t>
        </is>
      </c>
      <c r="I7" s="356" t="n"/>
      <c r="J7" s="356" t="n"/>
    </row>
    <row r="8" ht="13.65" customFormat="1" customHeight="1" s="294">
      <c r="A8" s="340" t="n"/>
    </row>
    <row r="9" ht="13.2" customFormat="1" customHeight="1" s="294"/>
    <row r="10" ht="27" customHeight="1" s="315">
      <c r="A10" s="361" t="inlineStr">
        <is>
          <t>№ пп.</t>
        </is>
      </c>
      <c r="B10" s="361" t="inlineStr">
        <is>
          <t>Код ресурса</t>
        </is>
      </c>
      <c r="C10" s="361" t="inlineStr">
        <is>
          <t>Наименование</t>
        </is>
      </c>
      <c r="D10" s="361" t="inlineStr">
        <is>
          <t>Ед. изм.</t>
        </is>
      </c>
      <c r="E10" s="361" t="inlineStr">
        <is>
          <t>Кол-во единиц по проектным данным</t>
        </is>
      </c>
      <c r="F10" s="361" t="inlineStr">
        <is>
          <t>Сметная стоимость в ценах на 01.01.2000 (руб.)</t>
        </is>
      </c>
      <c r="G10" s="429" t="n"/>
      <c r="H10" s="361" t="inlineStr">
        <is>
          <t>Удельный вес, %</t>
        </is>
      </c>
      <c r="I10" s="361" t="inlineStr">
        <is>
          <t>Сметная стоимость в ценах на 01.01.2023 (руб.)</t>
        </is>
      </c>
      <c r="J10" s="429" t="n"/>
      <c r="K10" s="301" t="n"/>
      <c r="L10" s="301" t="n"/>
      <c r="M10" s="301" t="n"/>
      <c r="N10" s="301" t="n"/>
    </row>
    <row r="11" ht="28.5" customHeight="1" s="315">
      <c r="A11" s="431" t="n"/>
      <c r="B11" s="431" t="n"/>
      <c r="C11" s="431" t="n"/>
      <c r="D11" s="431" t="n"/>
      <c r="E11" s="431" t="n"/>
      <c r="F11" s="361" t="inlineStr">
        <is>
          <t>на ед. изм.</t>
        </is>
      </c>
      <c r="G11" s="361" t="inlineStr">
        <is>
          <t>общая</t>
        </is>
      </c>
      <c r="H11" s="431" t="n"/>
      <c r="I11" s="361" t="inlineStr">
        <is>
          <t>на ед. изм.</t>
        </is>
      </c>
      <c r="J11" s="361" t="inlineStr">
        <is>
          <t>общая</t>
        </is>
      </c>
      <c r="K11" s="301" t="n"/>
      <c r="L11" s="301" t="n"/>
      <c r="M11" s="301" t="n"/>
      <c r="N11" s="301" t="n"/>
    </row>
    <row r="12" s="315">
      <c r="A12" s="361" t="n">
        <v>1</v>
      </c>
      <c r="B12" s="361" t="n">
        <v>2</v>
      </c>
      <c r="C12" s="361" t="n">
        <v>3</v>
      </c>
      <c r="D12" s="361" t="n">
        <v>4</v>
      </c>
      <c r="E12" s="361" t="n">
        <v>5</v>
      </c>
      <c r="F12" s="361" t="n">
        <v>6</v>
      </c>
      <c r="G12" s="361" t="n">
        <v>7</v>
      </c>
      <c r="H12" s="361" t="n">
        <v>8</v>
      </c>
      <c r="I12" s="362" t="n">
        <v>9</v>
      </c>
      <c r="J12" s="362" t="n">
        <v>10</v>
      </c>
      <c r="K12" s="301" t="n"/>
      <c r="L12" s="301" t="n"/>
      <c r="M12" s="301" t="n"/>
      <c r="N12" s="301" t="n"/>
    </row>
    <row r="13">
      <c r="A13" s="361" t="n"/>
      <c r="B13" s="350" t="inlineStr">
        <is>
          <t>Затраты труда рабочих-строителей</t>
        </is>
      </c>
      <c r="C13" s="428" t="n"/>
      <c r="D13" s="428" t="n"/>
      <c r="E13" s="428" t="n"/>
      <c r="F13" s="428" t="n"/>
      <c r="G13" s="428" t="n"/>
      <c r="H13" s="429" t="n"/>
      <c r="I13" s="194" t="n"/>
      <c r="J13" s="194" t="n"/>
    </row>
    <row r="14" ht="25.5" customHeight="1" s="315">
      <c r="A14" s="361" t="n">
        <v>1</v>
      </c>
      <c r="B14" s="267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61" t="inlineStr">
        <is>
          <t>чел.-ч.</t>
        </is>
      </c>
      <c r="E14" s="43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1">
      <c r="A15" s="361" t="n"/>
      <c r="B15" s="361" t="n"/>
      <c r="C15" s="350" t="inlineStr">
        <is>
          <t>Итого по разделу "Затраты труда рабочих-строителей"</t>
        </is>
      </c>
      <c r="D15" s="361" t="inlineStr">
        <is>
          <t>чел.-ч.</t>
        </is>
      </c>
      <c r="E15" s="436">
        <f>SUM(E14:E14)</f>
        <v/>
      </c>
      <c r="F15" s="201" t="n"/>
      <c r="G15" s="201">
        <f>SUM(G14:G14)</f>
        <v/>
      </c>
      <c r="H15" s="372" t="n">
        <v>1</v>
      </c>
      <c r="I15" s="194" t="n"/>
      <c r="J15" s="201">
        <f>SUM(J14:J14)</f>
        <v/>
      </c>
    </row>
    <row r="16" ht="14.25" customFormat="1" customHeight="1" s="301">
      <c r="A16" s="361" t="n"/>
      <c r="B16" s="369" t="inlineStr">
        <is>
          <t>Затраты труда машинистов</t>
        </is>
      </c>
      <c r="C16" s="428" t="n"/>
      <c r="D16" s="428" t="n"/>
      <c r="E16" s="428" t="n"/>
      <c r="F16" s="428" t="n"/>
      <c r="G16" s="428" t="n"/>
      <c r="H16" s="429" t="n"/>
      <c r="I16" s="194" t="n"/>
      <c r="J16" s="194" t="n"/>
    </row>
    <row r="17" ht="14.25" customFormat="1" customHeight="1" s="301">
      <c r="A17" s="361" t="n">
        <v>2</v>
      </c>
      <c r="B17" s="361" t="n">
        <v>2</v>
      </c>
      <c r="C17" s="369" t="inlineStr">
        <is>
          <t>Затраты труда машинистов</t>
        </is>
      </c>
      <c r="D17" s="361" t="inlineStr">
        <is>
          <t>чел.-ч.</t>
        </is>
      </c>
      <c r="E17" s="436" t="n">
        <v>82.7</v>
      </c>
      <c r="F17" s="201">
        <f>G17/E17</f>
        <v/>
      </c>
      <c r="G17" s="201">
        <f>'Прил. 3'!H13</f>
        <v/>
      </c>
      <c r="H17" s="372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1">
      <c r="A18" s="361" t="n"/>
      <c r="B18" s="350" t="inlineStr">
        <is>
          <t>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194" t="n"/>
      <c r="J18" s="194" t="n"/>
    </row>
    <row r="19" ht="14.25" customFormat="1" customHeight="1" s="301">
      <c r="A19" s="361" t="n"/>
      <c r="B19" s="369" t="inlineStr">
        <is>
          <t>Основные машины и механизмы</t>
        </is>
      </c>
      <c r="C19" s="428" t="n"/>
      <c r="D19" s="428" t="n"/>
      <c r="E19" s="428" t="n"/>
      <c r="F19" s="428" t="n"/>
      <c r="G19" s="428" t="n"/>
      <c r="H19" s="429" t="n"/>
      <c r="I19" s="194" t="n"/>
      <c r="J19" s="194" t="n"/>
    </row>
    <row r="20" ht="25.5" customFormat="1" customHeight="1" s="301">
      <c r="A20" s="361" t="n">
        <v>3</v>
      </c>
      <c r="B20" s="270" t="inlineStr">
        <is>
          <t>91.05.05-018</t>
        </is>
      </c>
      <c r="C20" s="271" t="inlineStr">
        <is>
          <t>Краны на автомобильном ходу, грузоподъемность 63 т</t>
        </is>
      </c>
      <c r="D20" s="382" t="inlineStr">
        <is>
          <t>маш.час</t>
        </is>
      </c>
      <c r="E20" s="437" t="n">
        <v>15.6</v>
      </c>
      <c r="F20" s="273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1">
      <c r="A21" s="361" t="n">
        <v>4</v>
      </c>
      <c r="B21" s="270" t="inlineStr">
        <is>
          <t>91.06.03-012</t>
        </is>
      </c>
      <c r="C21" s="271" t="inlineStr">
        <is>
          <t>Лебедки-прицепы гидравлические для протяжки кабеля, тяговое усилие 10 т</t>
        </is>
      </c>
      <c r="D21" s="382" t="inlineStr">
        <is>
          <t>маш.час</t>
        </is>
      </c>
      <c r="E21" s="437" t="n">
        <v>28.1</v>
      </c>
      <c r="F21" s="273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1">
      <c r="A22" s="361" t="n"/>
      <c r="B22" s="361" t="n"/>
      <c r="C22" s="369" t="inlineStr">
        <is>
          <t>Итого основные машины и механизмы</t>
        </is>
      </c>
      <c r="D22" s="361" t="n"/>
      <c r="E22" s="436" t="n"/>
      <c r="F22" s="201" t="n"/>
      <c r="G22" s="201">
        <f>SUM(G20:G21)</f>
        <v/>
      </c>
      <c r="H22" s="372">
        <f>G22/G32</f>
        <v/>
      </c>
      <c r="I22" s="195" t="n"/>
      <c r="J22" s="201">
        <f>SUM(J20:J21)</f>
        <v/>
      </c>
    </row>
    <row r="23" outlineLevel="1" ht="14.25" customFormat="1" customHeight="1" s="301">
      <c r="A23" s="361" t="n">
        <v>5</v>
      </c>
      <c r="B23" s="270" t="inlineStr">
        <is>
          <t>91.14.04-003</t>
        </is>
      </c>
      <c r="C23" s="271" t="inlineStr">
        <is>
          <t>Тягачи седельные, грузоподъемность 30 т</t>
        </is>
      </c>
      <c r="D23" s="382" t="inlineStr">
        <is>
          <t>маш.час</t>
        </is>
      </c>
      <c r="E23" s="437" t="n">
        <v>12.5</v>
      </c>
      <c r="F23" s="273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01">
      <c r="A24" s="361" t="n">
        <v>6</v>
      </c>
      <c r="B24" s="270" t="inlineStr">
        <is>
          <t>91.05.13-001</t>
        </is>
      </c>
      <c r="C24" s="271" t="inlineStr">
        <is>
          <t>Автомобили бортовые, грузоподъемность до 6 т, с краном-манипулятором-4,0 т</t>
        </is>
      </c>
      <c r="D24" s="382" t="inlineStr">
        <is>
          <t>маш.час</t>
        </is>
      </c>
      <c r="E24" s="437" t="n">
        <v>1.8</v>
      </c>
      <c r="F24" s="273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01">
      <c r="A25" s="361" t="n">
        <v>7</v>
      </c>
      <c r="B25" s="270" t="inlineStr">
        <is>
          <t>91.11.01-021</t>
        </is>
      </c>
      <c r="C25" s="271" t="inlineStr">
        <is>
          <t>Устройства подталкивающие для протяжки кабеля, тяговое усилие 800 кг</t>
        </is>
      </c>
      <c r="D25" s="382" t="inlineStr">
        <is>
          <t>маш.час</t>
        </is>
      </c>
      <c r="E25" s="437" t="n">
        <v>19.9</v>
      </c>
      <c r="F25" s="273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01">
      <c r="A26" s="361" t="n">
        <v>8</v>
      </c>
      <c r="B26" s="270" t="inlineStr">
        <is>
          <t>91.14.05-002</t>
        </is>
      </c>
      <c r="C26" s="271" t="inlineStr">
        <is>
          <t>Полуприцепы-тяжеловозы, грузоподъемность 40 т</t>
        </is>
      </c>
      <c r="D26" s="382" t="inlineStr">
        <is>
          <t>маш.час</t>
        </is>
      </c>
      <c r="E26" s="437" t="n">
        <v>12.5</v>
      </c>
      <c r="F26" s="273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01">
      <c r="A27" s="361" t="n">
        <v>9</v>
      </c>
      <c r="B27" s="270" t="inlineStr">
        <is>
          <t>91.16.01-002</t>
        </is>
      </c>
      <c r="C27" s="271" t="inlineStr">
        <is>
          <t>Электростанции передвижные, мощность 4 кВт</t>
        </is>
      </c>
      <c r="D27" s="382" t="inlineStr">
        <is>
          <t>маш.час</t>
        </is>
      </c>
      <c r="E27" s="437" t="n">
        <v>9.1</v>
      </c>
      <c r="F27" s="273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01">
      <c r="A28" s="361" t="n">
        <v>10</v>
      </c>
      <c r="B28" s="270" t="inlineStr">
        <is>
          <t>91.17.04-091</t>
        </is>
      </c>
      <c r="C28" s="271" t="inlineStr">
        <is>
          <t>Горелки газовые инжекторные</t>
        </is>
      </c>
      <c r="D28" s="382" t="inlineStr">
        <is>
          <t>маш.час</t>
        </is>
      </c>
      <c r="E28" s="437" t="n">
        <v>9.1</v>
      </c>
      <c r="F28" s="273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01">
      <c r="A29" s="361" t="n">
        <v>11</v>
      </c>
      <c r="B29" s="270" t="inlineStr">
        <is>
          <t>91.21.15-022</t>
        </is>
      </c>
      <c r="C29" s="271" t="inlineStr">
        <is>
          <t>Пилы ленточные с поворотной пилорамой</t>
        </is>
      </c>
      <c r="D29" s="382" t="inlineStr">
        <is>
          <t>маш.час</t>
        </is>
      </c>
      <c r="E29" s="437" t="n">
        <v>9.1</v>
      </c>
      <c r="F29" s="273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01">
      <c r="A30" s="361" t="n">
        <v>12</v>
      </c>
      <c r="B30" s="270" t="inlineStr">
        <is>
          <t>91.06.01-002</t>
        </is>
      </c>
      <c r="C30" s="271" t="inlineStr">
        <is>
          <t>Домкраты гидравлические, грузоподъемность 6,3-25 т</t>
        </is>
      </c>
      <c r="D30" s="382" t="inlineStr">
        <is>
          <t>маш.час</t>
        </is>
      </c>
      <c r="E30" s="437" t="n">
        <v>46.7</v>
      </c>
      <c r="F30" s="273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01">
      <c r="A31" s="361" t="n"/>
      <c r="B31" s="361" t="n"/>
      <c r="C31" s="369" t="inlineStr">
        <is>
          <t>Итого прочие машины и механизмы</t>
        </is>
      </c>
      <c r="D31" s="361" t="n"/>
      <c r="E31" s="370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01">
      <c r="A32" s="361" t="n"/>
      <c r="B32" s="361" t="n"/>
      <c r="C32" s="350" t="inlineStr">
        <is>
          <t>Итого по разделу «Машины и механизмы»</t>
        </is>
      </c>
      <c r="D32" s="361" t="n"/>
      <c r="E32" s="370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01">
      <c r="A33" s="361" t="n"/>
      <c r="B33" s="350" t="inlineStr">
        <is>
          <t>Оборудование</t>
        </is>
      </c>
      <c r="C33" s="428" t="n"/>
      <c r="D33" s="428" t="n"/>
      <c r="E33" s="428" t="n"/>
      <c r="F33" s="428" t="n"/>
      <c r="G33" s="428" t="n"/>
      <c r="H33" s="429" t="n"/>
      <c r="I33" s="194" t="n"/>
      <c r="J33" s="194" t="n"/>
    </row>
    <row r="34">
      <c r="A34" s="361" t="n"/>
      <c r="B34" s="369" t="inlineStr">
        <is>
          <t>Основное оборудование</t>
        </is>
      </c>
      <c r="C34" s="428" t="n"/>
      <c r="D34" s="428" t="n"/>
      <c r="E34" s="428" t="n"/>
      <c r="F34" s="428" t="n"/>
      <c r="G34" s="428" t="n"/>
      <c r="H34" s="429" t="n"/>
      <c r="I34" s="194" t="n"/>
      <c r="J34" s="194" t="n"/>
      <c r="K34" s="301" t="n"/>
      <c r="L34" s="301" t="n"/>
    </row>
    <row r="35">
      <c r="A35" s="361" t="n"/>
      <c r="B35" s="361" t="n"/>
      <c r="C35" s="369" t="inlineStr">
        <is>
          <t>Итого основное оборудование</t>
        </is>
      </c>
      <c r="D35" s="361" t="n"/>
      <c r="E35" s="438" t="n"/>
      <c r="F35" s="371" t="n"/>
      <c r="G35" s="201" t="n">
        <v>0</v>
      </c>
      <c r="H35" s="203" t="n">
        <v>0</v>
      </c>
      <c r="I35" s="195" t="n"/>
      <c r="J35" s="201" t="n">
        <v>0</v>
      </c>
      <c r="K35" s="301" t="n"/>
      <c r="L35" s="301" t="n"/>
    </row>
    <row r="36">
      <c r="A36" s="361" t="n"/>
      <c r="B36" s="361" t="n"/>
      <c r="C36" s="369" t="inlineStr">
        <is>
          <t>Итого прочее оборудование</t>
        </is>
      </c>
      <c r="D36" s="361" t="n"/>
      <c r="E36" s="436" t="n"/>
      <c r="F36" s="371" t="n"/>
      <c r="G36" s="201" t="n">
        <v>0</v>
      </c>
      <c r="H36" s="203" t="n">
        <v>0</v>
      </c>
      <c r="I36" s="195" t="n"/>
      <c r="J36" s="201" t="n">
        <v>0</v>
      </c>
      <c r="K36" s="301" t="n"/>
      <c r="L36" s="301" t="n"/>
    </row>
    <row r="37">
      <c r="A37" s="361" t="n"/>
      <c r="B37" s="361" t="n"/>
      <c r="C37" s="350" t="inlineStr">
        <is>
          <t>Итого по разделу «Оборудование»</t>
        </is>
      </c>
      <c r="D37" s="361" t="n"/>
      <c r="E37" s="370" t="n"/>
      <c r="F37" s="371" t="n"/>
      <c r="G37" s="201">
        <f>G35+G36</f>
        <v/>
      </c>
      <c r="H37" s="203" t="n">
        <v>0</v>
      </c>
      <c r="I37" s="195" t="n"/>
      <c r="J37" s="201">
        <f>J36+J35</f>
        <v/>
      </c>
      <c r="K37" s="301" t="n"/>
      <c r="L37" s="301" t="n"/>
    </row>
    <row r="38" ht="25.5" customHeight="1" s="315">
      <c r="A38" s="361" t="n"/>
      <c r="B38" s="361" t="n"/>
      <c r="C38" s="369" t="inlineStr">
        <is>
          <t>в том числе технологическое оборудование</t>
        </is>
      </c>
      <c r="D38" s="361" t="n"/>
      <c r="E38" s="438" t="n"/>
      <c r="F38" s="371" t="n"/>
      <c r="G38" s="201">
        <f>'Прил.6 Расчет ОБ'!G12</f>
        <v/>
      </c>
      <c r="H38" s="372" t="n"/>
      <c r="I38" s="195" t="n"/>
      <c r="J38" s="201">
        <f>J37</f>
        <v/>
      </c>
      <c r="K38" s="301" t="n"/>
      <c r="L38" s="301" t="n"/>
    </row>
    <row r="39" ht="14.25" customFormat="1" customHeight="1" s="301">
      <c r="A39" s="361" t="n"/>
      <c r="B39" s="350" t="inlineStr">
        <is>
          <t>Материалы</t>
        </is>
      </c>
      <c r="C39" s="428" t="n"/>
      <c r="D39" s="428" t="n"/>
      <c r="E39" s="428" t="n"/>
      <c r="F39" s="428" t="n"/>
      <c r="G39" s="428" t="n"/>
      <c r="H39" s="429" t="n"/>
      <c r="I39" s="194" t="n"/>
      <c r="J39" s="194" t="n"/>
    </row>
    <row r="40" ht="14.25" customFormat="1" customHeight="1" s="301">
      <c r="A40" s="362" t="n"/>
      <c r="B40" s="365" t="inlineStr">
        <is>
          <t>Основные материалы</t>
        </is>
      </c>
      <c r="C40" s="439" t="n"/>
      <c r="D40" s="439" t="n"/>
      <c r="E40" s="439" t="n"/>
      <c r="F40" s="439" t="n"/>
      <c r="G40" s="439" t="n"/>
      <c r="H40" s="440" t="n"/>
      <c r="I40" s="209" t="n"/>
      <c r="J40" s="209" t="n"/>
    </row>
    <row r="41" ht="14.25" customFormat="1" customHeight="1" s="301">
      <c r="A41" s="361" t="n">
        <v>13</v>
      </c>
      <c r="B41" s="361" t="inlineStr">
        <is>
          <t>БЦ.81.730</t>
        </is>
      </c>
      <c r="C41" s="271" t="inlineStr">
        <is>
          <t>Кабель алюминиевый 330кВ 3х630</t>
        </is>
      </c>
      <c r="D41" s="361" t="inlineStr">
        <is>
          <t>км</t>
        </is>
      </c>
      <c r="E41" s="438">
        <f>1*3.3</f>
        <v/>
      </c>
      <c r="F41" s="371">
        <f>ROUND(I41/'Прил. 10'!$D$13,2)</f>
        <v/>
      </c>
      <c r="G41" s="201">
        <f>ROUND(E41*F41,2)</f>
        <v/>
      </c>
      <c r="H41" s="203">
        <f>G41/$G$45</f>
        <v/>
      </c>
      <c r="I41" s="201" t="n">
        <v>7041377.1</v>
      </c>
      <c r="J41" s="201">
        <f>ROUND(I41*E41,2)</f>
        <v/>
      </c>
    </row>
    <row r="42" ht="14.25" customFormat="1" customHeight="1" s="301">
      <c r="A42" s="363" t="n"/>
      <c r="B42" s="211" t="n"/>
      <c r="C42" s="212" t="inlineStr">
        <is>
          <t>Итого основные материалы</t>
        </is>
      </c>
      <c r="D42" s="363" t="n"/>
      <c r="E42" s="441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01">
      <c r="A43" s="361" t="n">
        <v>14</v>
      </c>
      <c r="B43" s="270" t="inlineStr">
        <is>
          <t>01.3.02.09-0022</t>
        </is>
      </c>
      <c r="C43" s="271" t="inlineStr">
        <is>
          <t>Пропан-бутан смесь техническая</t>
        </is>
      </c>
      <c r="D43" s="382" t="inlineStr">
        <is>
          <t>кг</t>
        </is>
      </c>
      <c r="E43" s="437" t="n">
        <v>3.586</v>
      </c>
      <c r="F43" s="25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01">
      <c r="A44" s="361" t="n"/>
      <c r="B44" s="361" t="n"/>
      <c r="C44" s="369" t="inlineStr">
        <is>
          <t>Итого прочие материалы</t>
        </is>
      </c>
      <c r="D44" s="361" t="n"/>
      <c r="E44" s="438" t="n"/>
      <c r="F44" s="371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01">
      <c r="A45" s="361" t="n"/>
      <c r="B45" s="361" t="n"/>
      <c r="C45" s="350" t="inlineStr">
        <is>
          <t>Итого по разделу «Материалы»</t>
        </is>
      </c>
      <c r="D45" s="361" t="n"/>
      <c r="E45" s="370" t="n"/>
      <c r="F45" s="371" t="n"/>
      <c r="G45" s="201">
        <f>G42+G44</f>
        <v/>
      </c>
      <c r="H45" s="372">
        <f>G45/$G$45</f>
        <v/>
      </c>
      <c r="I45" s="201" t="n"/>
      <c r="J45" s="201">
        <f>J42+J44</f>
        <v/>
      </c>
    </row>
    <row r="46" ht="14.25" customFormat="1" customHeight="1" s="301">
      <c r="A46" s="361" t="n"/>
      <c r="B46" s="361" t="n"/>
      <c r="C46" s="369" t="inlineStr">
        <is>
          <t>ИТОГО ПО РМ</t>
        </is>
      </c>
      <c r="D46" s="361" t="n"/>
      <c r="E46" s="370" t="n"/>
      <c r="F46" s="371" t="n"/>
      <c r="G46" s="201">
        <f>G15+G32+G45</f>
        <v/>
      </c>
      <c r="H46" s="372" t="n"/>
      <c r="I46" s="201" t="n"/>
      <c r="J46" s="201">
        <f>J15+J32+J45</f>
        <v/>
      </c>
    </row>
    <row r="47" ht="14.25" customFormat="1" customHeight="1" s="301">
      <c r="A47" s="361" t="n"/>
      <c r="B47" s="361" t="n"/>
      <c r="C47" s="369" t="inlineStr">
        <is>
          <t>Накладные расходы</t>
        </is>
      </c>
      <c r="D47" s="197">
        <f>ROUND(G47/(G$17+$G$15),2)</f>
        <v/>
      </c>
      <c r="E47" s="370" t="n"/>
      <c r="F47" s="371" t="n"/>
      <c r="G47" s="201" t="n">
        <v>11903.06</v>
      </c>
      <c r="H47" s="372" t="n"/>
      <c r="I47" s="201" t="n"/>
      <c r="J47" s="201">
        <f>ROUND(D47*(J15+J17),2)</f>
        <v/>
      </c>
    </row>
    <row r="48" ht="14.25" customFormat="1" customHeight="1" s="301">
      <c r="A48" s="361" t="n"/>
      <c r="B48" s="361" t="n"/>
      <c r="C48" s="369" t="inlineStr">
        <is>
          <t>Сметная прибыль</t>
        </is>
      </c>
      <c r="D48" s="197">
        <f>ROUND(G48/(G$15+G$17),2)</f>
        <v/>
      </c>
      <c r="E48" s="370" t="n"/>
      <c r="F48" s="371" t="n"/>
      <c r="G48" s="201" t="n">
        <v>6258.31</v>
      </c>
      <c r="H48" s="372" t="n"/>
      <c r="I48" s="201" t="n"/>
      <c r="J48" s="201">
        <f>ROUND(D48*(J15+J17),2)</f>
        <v/>
      </c>
    </row>
    <row r="49" ht="14.25" customFormat="1" customHeight="1" s="301">
      <c r="A49" s="361" t="n"/>
      <c r="B49" s="361" t="n"/>
      <c r="C49" s="369" t="inlineStr">
        <is>
          <t>Итого СМР (с НР и СП)</t>
        </is>
      </c>
      <c r="D49" s="361" t="n"/>
      <c r="E49" s="370" t="n"/>
      <c r="F49" s="371" t="n"/>
      <c r="G49" s="201">
        <f>G15+G32+G45+G47+G48</f>
        <v/>
      </c>
      <c r="H49" s="372" t="n"/>
      <c r="I49" s="201" t="n"/>
      <c r="J49" s="201">
        <f>J15+J32+J45+J47+J48</f>
        <v/>
      </c>
    </row>
    <row r="50" ht="14.25" customFormat="1" customHeight="1" s="301">
      <c r="A50" s="361" t="n"/>
      <c r="B50" s="361" t="n"/>
      <c r="C50" s="369" t="inlineStr">
        <is>
          <t>ВСЕГО СМР + ОБОРУДОВАНИЕ</t>
        </is>
      </c>
      <c r="D50" s="361" t="n"/>
      <c r="E50" s="370" t="n"/>
      <c r="F50" s="371" t="n"/>
      <c r="G50" s="201">
        <f>G49+G37</f>
        <v/>
      </c>
      <c r="H50" s="372" t="n"/>
      <c r="I50" s="201" t="n"/>
      <c r="J50" s="201">
        <f>J49+J37</f>
        <v/>
      </c>
    </row>
    <row r="51" ht="34.5" customFormat="1" customHeight="1" s="301">
      <c r="A51" s="361" t="n"/>
      <c r="B51" s="361" t="n"/>
      <c r="C51" s="369" t="inlineStr">
        <is>
          <t>ИТОГО ПОКАЗАТЕЛЬ НА ЕД. ИЗМ.</t>
        </is>
      </c>
      <c r="D51" s="361" t="inlineStr">
        <is>
          <t>1 км</t>
        </is>
      </c>
      <c r="E51" s="438" t="n">
        <v>1</v>
      </c>
      <c r="F51" s="371" t="n"/>
      <c r="G51" s="201">
        <f>G50/E51</f>
        <v/>
      </c>
      <c r="H51" s="372" t="n"/>
      <c r="I51" s="201" t="n"/>
      <c r="J51" s="201">
        <f>J50/E51</f>
        <v/>
      </c>
    </row>
    <row r="53" ht="14.25" customFormat="1" customHeight="1" s="301">
      <c r="A53" s="294" t="inlineStr">
        <is>
          <t>Составил ______________________    А.Р. Маркова</t>
        </is>
      </c>
    </row>
    <row r="54" ht="14.25" customFormat="1" customHeight="1" s="301">
      <c r="A54" s="302" t="inlineStr">
        <is>
          <t xml:space="preserve">                         (подпись, инициалы, фамилия)</t>
        </is>
      </c>
    </row>
    <row r="55" ht="14.25" customFormat="1" customHeight="1" s="301">
      <c r="A55" s="294" t="n"/>
    </row>
    <row r="56" ht="14.25" customFormat="1" customHeight="1" s="301">
      <c r="A56" s="294" t="inlineStr">
        <is>
          <t>Проверил ______________________        А.В. Костянецкая</t>
        </is>
      </c>
    </row>
    <row r="57" ht="14.25" customFormat="1" customHeight="1" s="301">
      <c r="A57" s="30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15" min="1" max="1"/>
    <col width="17.6640625" customWidth="1" style="315" min="2" max="2"/>
    <col width="39.109375" customWidth="1" style="315" min="3" max="3"/>
    <col width="10.6640625" customWidth="1" style="315" min="4" max="4"/>
    <col width="13.88671875" customWidth="1" style="315" min="5" max="5"/>
    <col width="13.33203125" customWidth="1" style="315" min="6" max="6"/>
    <col width="14.109375" customWidth="1" style="315" min="7" max="7"/>
  </cols>
  <sheetData>
    <row r="1">
      <c r="A1" s="377" t="inlineStr">
        <is>
          <t>Приложение №6</t>
        </is>
      </c>
    </row>
    <row r="2" ht="21.75" customHeight="1" s="315">
      <c r="A2" s="377" t="n"/>
      <c r="B2" s="377" t="n"/>
      <c r="C2" s="377" t="n"/>
      <c r="D2" s="377" t="n"/>
      <c r="E2" s="377" t="n"/>
      <c r="F2" s="377" t="n"/>
      <c r="G2" s="377" t="n"/>
    </row>
    <row r="3">
      <c r="A3" s="337" t="inlineStr">
        <is>
          <t>Расчет стоимости оборудования</t>
        </is>
      </c>
    </row>
    <row r="4" ht="25.5" customHeight="1" s="315">
      <c r="A4" s="340" t="inlineStr">
        <is>
          <t>Наименование разрабатываемого показателя УНЦ — КЛ 330 кВ (с алюминиевой жилой) сечение жилы 630 мм2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.15" customHeight="1" s="315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61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315">
      <c r="A9" s="239" t="n"/>
      <c r="B9" s="369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15">
      <c r="A10" s="361" t="n"/>
      <c r="B10" s="350" t="n"/>
      <c r="C10" s="369" t="inlineStr">
        <is>
          <t>ИТОГО ИНЖЕНЕРНОЕ ОБОРУДОВАНИЕ</t>
        </is>
      </c>
      <c r="D10" s="350" t="n"/>
      <c r="E10" s="142" t="n"/>
      <c r="F10" s="371" t="n"/>
      <c r="G10" s="371" t="n">
        <v>0</v>
      </c>
    </row>
    <row r="11">
      <c r="A11" s="361" t="n"/>
      <c r="B11" s="369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315">
      <c r="A12" s="361" t="n"/>
      <c r="B12" s="369" t="n"/>
      <c r="C12" s="369" t="inlineStr">
        <is>
          <t>ИТОГО ТЕХНОЛОГИЧЕСКОЕ ОБОРУДОВАНИЕ</t>
        </is>
      </c>
      <c r="D12" s="369" t="n"/>
      <c r="E12" s="381" t="n"/>
      <c r="F12" s="371" t="n"/>
      <c r="G12" s="201" t="n">
        <v>0</v>
      </c>
    </row>
    <row r="13" ht="19.5" customHeight="1" s="315">
      <c r="A13" s="361" t="n"/>
      <c r="B13" s="369" t="n"/>
      <c r="C13" s="369" t="inlineStr">
        <is>
          <t>Всего по разделу «Оборудование»</t>
        </is>
      </c>
      <c r="D13" s="369" t="n"/>
      <c r="E13" s="381" t="n"/>
      <c r="F13" s="371" t="n"/>
      <c r="G13" s="201">
        <f>G10+G12</f>
        <v/>
      </c>
    </row>
    <row r="14">
      <c r="A14" s="299" t="n"/>
      <c r="B14" s="300" t="n"/>
      <c r="C14" s="299" t="n"/>
      <c r="D14" s="299" t="n"/>
      <c r="E14" s="299" t="n"/>
      <c r="F14" s="299" t="n"/>
      <c r="G14" s="299" t="n"/>
    </row>
    <row r="15">
      <c r="A15" s="294" t="inlineStr">
        <is>
          <t>Составил ______________________    А.Р. Маркова</t>
        </is>
      </c>
      <c r="B15" s="301" t="n"/>
      <c r="C15" s="301" t="n"/>
      <c r="D15" s="299" t="n"/>
      <c r="E15" s="299" t="n"/>
      <c r="F15" s="299" t="n"/>
      <c r="G15" s="299" t="n"/>
    </row>
    <row r="16">
      <c r="A16" s="302" t="inlineStr">
        <is>
          <t xml:space="preserve">                         (подпись, инициалы, фамилия)</t>
        </is>
      </c>
      <c r="B16" s="301" t="n"/>
      <c r="C16" s="301" t="n"/>
      <c r="D16" s="299" t="n"/>
      <c r="E16" s="299" t="n"/>
      <c r="F16" s="299" t="n"/>
      <c r="G16" s="299" t="n"/>
    </row>
    <row r="17">
      <c r="A17" s="294" t="n"/>
      <c r="B17" s="301" t="n"/>
      <c r="C17" s="301" t="n"/>
      <c r="D17" s="299" t="n"/>
      <c r="E17" s="299" t="n"/>
      <c r="F17" s="299" t="n"/>
      <c r="G17" s="299" t="n"/>
    </row>
    <row r="18">
      <c r="A18" s="294" t="inlineStr">
        <is>
          <t>Проверил ______________________        А.В. Костянецкая</t>
        </is>
      </c>
      <c r="B18" s="301" t="n"/>
      <c r="C18" s="301" t="n"/>
      <c r="D18" s="299" t="n"/>
      <c r="E18" s="299" t="n"/>
      <c r="F18" s="299" t="n"/>
      <c r="G18" s="299" t="n"/>
    </row>
    <row r="19">
      <c r="A19" s="302" t="inlineStr">
        <is>
          <t xml:space="preserve">                        (подпись, инициалы, фамилия)</t>
        </is>
      </c>
      <c r="B19" s="301" t="n"/>
      <c r="C19" s="301" t="n"/>
      <c r="D19" s="299" t="n"/>
      <c r="E19" s="299" t="n"/>
      <c r="F19" s="299" t="n"/>
      <c r="G19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5" min="1" max="1"/>
    <col width="29.6640625" customWidth="1" style="315" min="2" max="2"/>
    <col width="39.109375" customWidth="1" style="315" min="3" max="3"/>
    <col width="48.109375" customWidth="1" style="315" min="4" max="4"/>
    <col width="8.88671875" customWidth="1" style="315" min="5" max="5"/>
  </cols>
  <sheetData>
    <row r="1">
      <c r="B1" s="294" t="n"/>
      <c r="C1" s="294" t="n"/>
      <c r="D1" s="377" t="inlineStr">
        <is>
          <t>Приложение №7</t>
        </is>
      </c>
    </row>
    <row r="2" ht="25.95" customHeight="1" s="315">
      <c r="A2" s="377" t="n"/>
      <c r="B2" s="377" t="n"/>
      <c r="C2" s="377" t="n"/>
      <c r="D2" s="377" t="n"/>
    </row>
    <row r="3" ht="24.75" customHeight="1" s="315">
      <c r="A3" s="337" t="inlineStr">
        <is>
          <t>Расчет показателя УНЦ</t>
        </is>
      </c>
    </row>
    <row r="4" ht="24.75" customHeight="1" s="315">
      <c r="A4" s="337" t="n"/>
      <c r="B4" s="337" t="n"/>
      <c r="C4" s="337" t="n"/>
      <c r="D4" s="337" t="n"/>
    </row>
    <row r="5" ht="24.6" customHeight="1" s="315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5" customHeight="1" s="315">
      <c r="A6" s="340" t="inlineStr">
        <is>
          <t>Единица измерения  — 1 км</t>
        </is>
      </c>
      <c r="D6" s="340" t="n"/>
    </row>
    <row r="7">
      <c r="A7" s="294" t="n"/>
      <c r="B7" s="294" t="n"/>
      <c r="C7" s="294" t="n"/>
      <c r="D7" s="294" t="n"/>
    </row>
    <row r="8" ht="14.4" customHeight="1" s="315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 ht="15" customHeight="1" s="315">
      <c r="A9" s="431" t="n"/>
      <c r="B9" s="431" t="n"/>
      <c r="C9" s="431" t="n"/>
      <c r="D9" s="431" t="n"/>
    </row>
    <row r="10">
      <c r="A10" s="361" t="n">
        <v>1</v>
      </c>
      <c r="B10" s="361" t="n">
        <v>2</v>
      </c>
      <c r="C10" s="361" t="n">
        <v>3</v>
      </c>
      <c r="D10" s="361" t="n">
        <v>4</v>
      </c>
    </row>
    <row r="11" ht="41.4" customHeight="1" s="315">
      <c r="A11" s="361" t="inlineStr">
        <is>
          <t>К1-12-7</t>
        </is>
      </c>
      <c r="B11" s="361" t="inlineStr">
        <is>
          <t>УНЦ КЛ 6-500 кВ (с алюминиевой жилой)</t>
        </is>
      </c>
      <c r="C11" s="296">
        <f>D5</f>
        <v/>
      </c>
      <c r="D11" s="297">
        <f>'Прил.4 РМ'!C41/1000</f>
        <v/>
      </c>
      <c r="E11" s="298" t="n"/>
    </row>
    <row r="12">
      <c r="A12" s="299" t="n"/>
      <c r="B12" s="300" t="n"/>
      <c r="C12" s="299" t="n"/>
      <c r="D12" s="299" t="n"/>
    </row>
    <row r="13">
      <c r="A13" s="294" t="inlineStr">
        <is>
          <t>Составил ______________________      А.Р. Маркова</t>
        </is>
      </c>
      <c r="B13" s="301" t="n"/>
      <c r="C13" s="301" t="n"/>
      <c r="D13" s="299" t="n"/>
    </row>
    <row r="14">
      <c r="A14" s="302" t="inlineStr">
        <is>
          <t xml:space="preserve">                         (подпись, инициалы, фамилия)</t>
        </is>
      </c>
      <c r="B14" s="301" t="n"/>
      <c r="C14" s="301" t="n"/>
      <c r="D14" s="299" t="n"/>
    </row>
    <row r="15">
      <c r="A15" s="294" t="n"/>
      <c r="B15" s="301" t="n"/>
      <c r="C15" s="301" t="n"/>
      <c r="D15" s="299" t="n"/>
    </row>
    <row r="16">
      <c r="A16" s="294" t="inlineStr">
        <is>
          <t>Проверил ______________________        А.В. Костянецкая</t>
        </is>
      </c>
      <c r="B16" s="301" t="n"/>
      <c r="C16" s="301" t="n"/>
      <c r="D16" s="299" t="n"/>
    </row>
    <row r="17">
      <c r="A17" s="302" t="inlineStr">
        <is>
          <t xml:space="preserve">                        (подпись, инициалы, фамилия)</t>
        </is>
      </c>
      <c r="B17" s="301" t="n"/>
      <c r="C17" s="301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F30" sqref="F30"/>
    </sheetView>
  </sheetViews>
  <sheetFormatPr baseColWidth="8" defaultColWidth="9.109375" defaultRowHeight="14.4"/>
  <cols>
    <col width="9.109375" customWidth="1" style="315" min="1" max="1"/>
    <col width="40.6640625" customWidth="1" style="315" min="2" max="2"/>
    <col width="37" customWidth="1" style="315" min="3" max="3"/>
    <col width="32" customWidth="1" style="315" min="4" max="4"/>
    <col width="9.109375" customWidth="1" style="315" min="5" max="5"/>
  </cols>
  <sheetData>
    <row r="4" ht="15.75" customHeight="1" s="315">
      <c r="B4" s="344" t="inlineStr">
        <is>
          <t>Приложение № 10</t>
        </is>
      </c>
    </row>
    <row r="5" ht="18.75" customHeight="1" s="315">
      <c r="B5" s="166" t="n"/>
    </row>
    <row r="6" ht="15.75" customHeight="1" s="315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15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15">
      <c r="B10" s="349" t="n">
        <v>1</v>
      </c>
      <c r="C10" s="349" t="n">
        <v>2</v>
      </c>
      <c r="D10" s="349" t="n">
        <v>3</v>
      </c>
    </row>
    <row r="11" ht="45" customHeight="1" s="315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29.25" customHeight="1" s="315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10.77</v>
      </c>
    </row>
    <row r="13" ht="29.25" customHeight="1" s="315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4.39</v>
      </c>
    </row>
    <row r="14" ht="30.75" customHeight="1" s="315">
      <c r="B14" s="34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9" t="n">
        <v>6.26</v>
      </c>
    </row>
    <row r="15" ht="89.40000000000001" customHeight="1" s="315">
      <c r="B15" s="349" t="inlineStr">
        <is>
          <t>Временные здания и сооружения</t>
        </is>
      </c>
      <c r="C15" s="34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5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5">
      <c r="B17" s="349" t="inlineStr">
        <is>
          <t>Пусконаладочные работы*</t>
        </is>
      </c>
      <c r="C17" s="349" t="n"/>
      <c r="D17" s="169" t="inlineStr">
        <is>
          <t>Расчет</t>
        </is>
      </c>
    </row>
    <row r="18" ht="31.65" customHeight="1" s="315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5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169" t="n">
        <v>0.002</v>
      </c>
    </row>
    <row r="20" ht="24" customHeight="1" s="315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169" t="n">
        <v>0.03</v>
      </c>
    </row>
    <row r="21" ht="18.75" customHeight="1" s="315">
      <c r="B21" s="253" t="n"/>
    </row>
    <row r="22" ht="18.75" customHeight="1" s="315">
      <c r="B22" s="253" t="n"/>
    </row>
    <row r="23" ht="18.75" customHeight="1" s="315">
      <c r="B23" s="253" t="n"/>
    </row>
    <row r="24" ht="18.75" customHeight="1" s="315">
      <c r="B24" s="253" t="n"/>
    </row>
    <row r="27">
      <c r="B27" s="294" t="inlineStr">
        <is>
          <t>Составил ______________________        Е.А. Князева</t>
        </is>
      </c>
      <c r="C27" s="301" t="n"/>
    </row>
    <row r="28">
      <c r="B28" s="302" t="inlineStr">
        <is>
          <t xml:space="preserve">                         (подпись, инициалы, фамилия)</t>
        </is>
      </c>
      <c r="C28" s="301" t="n"/>
    </row>
    <row r="29">
      <c r="B29" s="294" t="n"/>
      <c r="C29" s="301" t="n"/>
    </row>
    <row r="30">
      <c r="B30" s="294" t="inlineStr">
        <is>
          <t>Проверил ______________________        А.В. Костянецкая</t>
        </is>
      </c>
      <c r="C30" s="301" t="n"/>
    </row>
    <row r="31">
      <c r="B31" s="302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30" sqref="F30"/>
    </sheetView>
  </sheetViews>
  <sheetFormatPr baseColWidth="8" defaultColWidth="9.109375" defaultRowHeight="14.4"/>
  <cols>
    <col width="44.88671875" customWidth="1" style="315" min="2" max="2"/>
    <col width="13" customWidth="1" style="315" min="3" max="3"/>
    <col width="22.88671875" customWidth="1" style="315" min="4" max="4"/>
    <col width="21.5546875" customWidth="1" style="315" min="5" max="5"/>
    <col width="43.88671875" customWidth="1" style="315" min="6" max="6"/>
  </cols>
  <sheetData>
    <row r="1" s="315"/>
    <row r="2" ht="17.25" customHeight="1" s="315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15"/>
    <row r="4" ht="18" customHeight="1" s="315">
      <c r="A4" s="316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15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317" t="n"/>
    </row>
    <row r="6" ht="15.75" customHeight="1" s="315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317" t="n"/>
    </row>
    <row r="7" ht="110.25" customHeight="1" s="315">
      <c r="A7" s="319" t="inlineStr">
        <is>
          <t>1.1</t>
        </is>
      </c>
      <c r="B7" s="3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22" t="n">
        <v>47872.94</v>
      </c>
      <c r="F7" s="3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15">
      <c r="A8" s="319" t="inlineStr">
        <is>
          <t>1.2</t>
        </is>
      </c>
      <c r="B8" s="324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23">
        <f>1973/12</f>
        <v/>
      </c>
      <c r="F8" s="324" t="inlineStr">
        <is>
          <t>Производственный календарь 2023 год
(40-часов.неделя)</t>
        </is>
      </c>
      <c r="G8" s="326" t="n"/>
    </row>
    <row r="9" ht="15.75" customHeight="1" s="315">
      <c r="A9" s="319" t="inlineStr">
        <is>
          <t>1.3</t>
        </is>
      </c>
      <c r="B9" s="324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23" t="n">
        <v>1</v>
      </c>
      <c r="F9" s="324" t="n"/>
      <c r="G9" s="326" t="n"/>
    </row>
    <row r="10" ht="15.75" customHeight="1" s="315">
      <c r="A10" s="319" t="inlineStr">
        <is>
          <t>1.4</t>
        </is>
      </c>
      <c r="B10" s="324" t="inlineStr">
        <is>
          <t>Средний разряд работ</t>
        </is>
      </c>
      <c r="C10" s="349" t="n"/>
      <c r="D10" s="349" t="n"/>
      <c r="E10" s="442" t="n">
        <v>4</v>
      </c>
      <c r="F10" s="324" t="inlineStr">
        <is>
          <t>РТМ</t>
        </is>
      </c>
      <c r="G10" s="326" t="n"/>
    </row>
    <row r="11" ht="78.75" customHeight="1" s="315">
      <c r="A11" s="319" t="inlineStr">
        <is>
          <t>1.5</t>
        </is>
      </c>
      <c r="B11" s="324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3" t="n">
        <v>1.34</v>
      </c>
      <c r="F11" s="3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15">
      <c r="A12" s="319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4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5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2025-01-24T12:04:04Z</dcterms:modified>
  <cp:lastModifiedBy>user1</cp:lastModifiedBy>
</cp:coreProperties>
</file>