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33203125" customWidth="1" style="320" min="5" max="5"/>
    <col width="9.109375" customWidth="1" style="320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.15000000000001" customHeight="1" s="318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3" t="n"/>
      <c r="C6" s="253" t="n"/>
      <c r="D6" s="253" t="n"/>
    </row>
    <row r="7" ht="64.5" customHeight="1" s="318">
      <c r="B7" s="349" t="inlineStr">
        <is>
          <t>Наименование разрабатываемого показателя УНЦ - Муфта соединительная 10 кВ сечением 800 мм2.</t>
        </is>
      </c>
    </row>
    <row r="8" ht="31.65" customHeight="1" s="318">
      <c r="B8" s="349" t="inlineStr">
        <is>
          <t>Сопоставимый уровень цен: 2 кв. 2018 г.</t>
        </is>
      </c>
    </row>
    <row r="9" ht="15.75" customHeight="1" s="318">
      <c r="B9" s="349" t="inlineStr">
        <is>
          <t>Единица измерения  — 1 ед</t>
        </is>
      </c>
    </row>
    <row r="10">
      <c r="B10" s="349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29" t="n"/>
    </row>
    <row r="12" ht="96.75" customHeight="1" s="318">
      <c r="B12" s="353" t="n">
        <v>1</v>
      </c>
      <c r="C12" s="332" t="inlineStr">
        <is>
          <t>Наименование объекта-представителя</t>
        </is>
      </c>
      <c r="D12" s="35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3" t="n">
        <v>2</v>
      </c>
      <c r="C13" s="332" t="inlineStr">
        <is>
          <t>Наименование субъекта Российской Федерации</t>
        </is>
      </c>
      <c r="D13" s="353" t="inlineStr">
        <is>
          <t>Челябинская область</t>
        </is>
      </c>
    </row>
    <row r="14">
      <c r="B14" s="353" t="n">
        <v>3</v>
      </c>
      <c r="C14" s="332" t="inlineStr">
        <is>
          <t>Климатический район и подрайон</t>
        </is>
      </c>
      <c r="D14" s="353" t="inlineStr">
        <is>
          <t>IВ</t>
        </is>
      </c>
    </row>
    <row r="15">
      <c r="B15" s="353" t="n">
        <v>4</v>
      </c>
      <c r="C15" s="332" t="inlineStr">
        <is>
          <t>Мощность объекта</t>
        </is>
      </c>
      <c r="D15" s="353" t="n">
        <v>1</v>
      </c>
    </row>
    <row r="16" ht="116.4" customHeight="1" s="318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Муфта соединительная 10 кВ сечением 800 мм2</t>
        </is>
      </c>
    </row>
    <row r="17" ht="79.5" customHeight="1" s="318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SUM(D18:D21)</f>
        <v/>
      </c>
      <c r="E17" s="252" t="n"/>
    </row>
    <row r="18">
      <c r="B18" s="228" t="inlineStr">
        <is>
          <t>6.1</t>
        </is>
      </c>
      <c r="C18" s="332" t="inlineStr">
        <is>
          <t>строительно-монтажные работы</t>
        </is>
      </c>
      <c r="D18" s="266" t="n">
        <v>51.71</v>
      </c>
    </row>
    <row r="19" ht="15.75" customHeight="1" s="318">
      <c r="B19" s="228" t="inlineStr">
        <is>
          <t>6.2</t>
        </is>
      </c>
      <c r="C19" s="332" t="inlineStr">
        <is>
          <t>оборудование и инвентарь</t>
        </is>
      </c>
      <c r="D19" s="266" t="n">
        <v>0</v>
      </c>
    </row>
    <row r="20" ht="16.5" customHeight="1" s="318">
      <c r="B20" s="228" t="inlineStr">
        <is>
          <t>6.3</t>
        </is>
      </c>
      <c r="C20" s="332" t="inlineStr">
        <is>
          <t>пусконаладочные работы</t>
        </is>
      </c>
      <c r="D20" s="266" t="n">
        <v>0</v>
      </c>
    </row>
    <row r="21" ht="35.4" customHeight="1" s="318">
      <c r="B21" s="228" t="inlineStr">
        <is>
          <t>6.4</t>
        </is>
      </c>
      <c r="C21" s="227" t="inlineStr">
        <is>
          <t>прочие и лимитированные затраты</t>
        </is>
      </c>
      <c r="D21" s="266">
        <f>D18*2.5%+(D18+D18*2.5%)*2.9%</f>
        <v/>
      </c>
    </row>
    <row r="22">
      <c r="B22" s="353" t="n">
        <v>7</v>
      </c>
      <c r="C22" s="227" t="inlineStr">
        <is>
          <t>Сопоставимый уровень цен</t>
        </is>
      </c>
      <c r="D22" s="267" t="inlineStr">
        <is>
          <t>2 кв. 2018 г.</t>
        </is>
      </c>
      <c r="E22" s="225" t="n"/>
    </row>
    <row r="23" ht="123" customHeight="1" s="318">
      <c r="B23" s="353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2" t="n"/>
    </row>
    <row r="24" ht="60.75" customHeight="1" s="318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5" t="n"/>
    </row>
    <row r="25" ht="48.15" customHeight="1" s="318">
      <c r="B25" s="353" t="n">
        <v>10</v>
      </c>
      <c r="C25" s="332" t="inlineStr">
        <is>
          <t>Примечание</t>
        </is>
      </c>
      <c r="D25" s="353" t="n"/>
    </row>
    <row r="26">
      <c r="B26" s="223" t="n"/>
      <c r="C26" s="222" t="n"/>
      <c r="D26" s="222" t="n"/>
    </row>
    <row r="27" ht="37.5" customHeight="1" s="318">
      <c r="B27" s="221" t="n"/>
    </row>
    <row r="28">
      <c r="B28" s="320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topLeftCell="A7" zoomScale="70" zoomScaleNormal="70" workbookViewId="0">
      <selection activeCell="E16" sqref="E16"/>
    </sheetView>
  </sheetViews>
  <sheetFormatPr baseColWidth="8" defaultColWidth="9.109375" defaultRowHeight="15.6"/>
  <cols>
    <col width="5.664062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664062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47" t="inlineStr">
        <is>
          <t>Приложение № 2</t>
        </is>
      </c>
      <c r="K3" s="221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18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8">
      <c r="B8" s="254" t="n"/>
    </row>
    <row r="9" ht="15.75" customHeight="1" s="318">
      <c r="A9" s="320" t="n"/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0" t="n"/>
      <c r="L9" s="320" t="n"/>
    </row>
    <row r="10" ht="15.75" customHeight="1" s="318">
      <c r="A10" s="320" t="n"/>
      <c r="B10" s="435" t="n"/>
      <c r="C10" s="43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2018г., тыс. руб.</t>
        </is>
      </c>
      <c r="G10" s="433" t="n"/>
      <c r="H10" s="433" t="n"/>
      <c r="I10" s="433" t="n"/>
      <c r="J10" s="434" t="n"/>
      <c r="K10" s="320" t="n"/>
      <c r="L10" s="320" t="n"/>
    </row>
    <row r="11" ht="31.5" customHeight="1" s="318">
      <c r="A11" s="320" t="n"/>
      <c r="B11" s="436" t="n"/>
      <c r="C11" s="436" t="n"/>
      <c r="D11" s="436" t="n"/>
      <c r="E11" s="43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0" t="n"/>
      <c r="L11" s="320" t="n"/>
    </row>
    <row r="12" ht="231" customHeight="1" s="318">
      <c r="A12" s="320" t="n"/>
      <c r="B12" s="353" t="n">
        <v>1</v>
      </c>
      <c r="C12" s="332" t="inlineStr">
        <is>
          <t>Муфта соединительная 10 кВ сечением 800 мм2</t>
        </is>
      </c>
      <c r="D12" s="313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4">
        <f>51714.67/1000</f>
        <v/>
      </c>
      <c r="H12" s="314" t="n"/>
      <c r="I12" s="314" t="n"/>
      <c r="J12" s="314">
        <f>SUM(F12:I12)</f>
        <v/>
      </c>
      <c r="K12" s="320" t="n"/>
      <c r="L12" s="320" t="n"/>
    </row>
    <row r="13" ht="15.75" customHeight="1" s="318">
      <c r="A13" s="320" t="n"/>
      <c r="B13" s="351" t="inlineStr">
        <is>
          <t>Всего по объекту:</t>
        </is>
      </c>
      <c r="C13" s="437" t="n"/>
      <c r="D13" s="437" t="n"/>
      <c r="E13" s="438" t="n"/>
      <c r="F13" s="315" t="n"/>
      <c r="G13" s="316">
        <f>G12</f>
        <v/>
      </c>
      <c r="H13" s="316" t="n"/>
      <c r="I13" s="316" t="n"/>
      <c r="J13" s="314">
        <f>SUM(F13:I13)</f>
        <v/>
      </c>
      <c r="K13" s="320" t="n"/>
      <c r="L13" s="320" t="n"/>
    </row>
    <row r="14" s="318">
      <c r="A14" s="320" t="n"/>
      <c r="B14" s="352" t="inlineStr">
        <is>
          <t>Всего по объекту в сопоставимом уровне цен 2кв. 2018г:</t>
        </is>
      </c>
      <c r="C14" s="433" t="n"/>
      <c r="D14" s="433" t="n"/>
      <c r="E14" s="434" t="n"/>
      <c r="F14" s="166" t="n"/>
      <c r="G14" s="317">
        <f>G13</f>
        <v/>
      </c>
      <c r="H14" s="317" t="n"/>
      <c r="I14" s="317" t="n"/>
      <c r="J14" s="314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1" t="inlineStr">
        <is>
          <t>Составил ______________________     А.Р. Маркова</t>
        </is>
      </c>
      <c r="D18" s="308" t="n"/>
      <c r="E18" s="308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9" t="inlineStr">
        <is>
          <t xml:space="preserve">                         (подпись, инициалы, фамилия)</t>
        </is>
      </c>
      <c r="D19" s="308" t="n"/>
      <c r="E19" s="308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1" t="n"/>
      <c r="D20" s="308" t="n"/>
      <c r="E20" s="308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1" t="inlineStr">
        <is>
          <t>Проверил ______________________        А.В. Костянецкая</t>
        </is>
      </c>
      <c r="D21" s="308" t="n"/>
      <c r="E21" s="308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9" t="inlineStr">
        <is>
          <t xml:space="preserve">                        (подпись, инициалы, фамилия)</t>
        </is>
      </c>
      <c r="D22" s="308" t="n"/>
      <c r="E22" s="308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>
      <c r="A26" s="320" t="n"/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</row>
    <row r="27" ht="15" customHeight="1" s="318"/>
    <row r="28" ht="15" customHeight="1" s="318"/>
    <row r="29" ht="15" customHeight="1" s="318"/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workbookViewId="0">
      <selection activeCell="D24" sqref="D24"/>
    </sheetView>
  </sheetViews>
  <sheetFormatPr baseColWidth="8" defaultColWidth="9.109375" defaultRowHeight="15.6"/>
  <cols>
    <col width="9.109375" customWidth="1" style="320" min="1" max="1"/>
    <col width="12.6640625" customWidth="1" style="320" min="2" max="2"/>
    <col width="22.332031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18">
      <c r="A4" s="265" t="n"/>
      <c r="B4" s="265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>
      <c r="A6" s="359" t="inlineStr">
        <is>
          <t>Наименование разрабатываемого показателя УНЦ -  Муфта соединительная 10 кВ сечением 800 мм2.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8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34" t="n"/>
    </row>
    <row r="9" ht="40.65" customHeight="1" s="318">
      <c r="A9" s="436" t="n"/>
      <c r="B9" s="436" t="n"/>
      <c r="C9" s="436" t="n"/>
      <c r="D9" s="436" t="n"/>
      <c r="E9" s="436" t="n"/>
      <c r="F9" s="436" t="n"/>
      <c r="G9" s="353" t="inlineStr">
        <is>
          <t>на ед.изм.</t>
        </is>
      </c>
      <c r="H9" s="353" t="inlineStr">
        <is>
          <t>общая</t>
        </is>
      </c>
    </row>
    <row r="10">
      <c r="A10" s="354" t="n">
        <v>1</v>
      </c>
      <c r="B10" s="354" t="n"/>
      <c r="C10" s="354" t="n">
        <v>2</v>
      </c>
      <c r="D10" s="354" t="inlineStr">
        <is>
          <t>З</t>
        </is>
      </c>
      <c r="E10" s="354" t="n">
        <v>4</v>
      </c>
      <c r="F10" s="354" t="n">
        <v>5</v>
      </c>
      <c r="G10" s="354" t="n">
        <v>6</v>
      </c>
      <c r="H10" s="354" t="n">
        <v>7</v>
      </c>
    </row>
    <row r="11" customFormat="1" s="233">
      <c r="A11" s="356" t="inlineStr">
        <is>
          <t>Затраты труда рабочих</t>
        </is>
      </c>
      <c r="B11" s="433" t="n"/>
      <c r="C11" s="433" t="n"/>
      <c r="D11" s="433" t="n"/>
      <c r="E11" s="434" t="n"/>
      <c r="F11" s="439">
        <f>SUM(F12:F12)</f>
        <v/>
      </c>
      <c r="G11" s="261" t="n"/>
      <c r="H11" s="439">
        <f>SUM(H12:H12)</f>
        <v/>
      </c>
    </row>
    <row r="12">
      <c r="A12" s="387" t="n">
        <v>1</v>
      </c>
      <c r="B12" s="236" t="n"/>
      <c r="C12" s="271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387" t="inlineStr">
        <is>
          <t>чел.-ч</t>
        </is>
      </c>
      <c r="F12" s="366" t="n">
        <v>16.64</v>
      </c>
      <c r="G12" s="440" t="n">
        <v>9.4</v>
      </c>
      <c r="H12" s="255">
        <f>ROUND(F12*G12,2)</f>
        <v/>
      </c>
      <c r="M12" s="441" t="n"/>
    </row>
    <row r="13">
      <c r="A13" s="355" t="inlineStr">
        <is>
          <t>Затраты труда машинистов</t>
        </is>
      </c>
      <c r="B13" s="433" t="n"/>
      <c r="C13" s="433" t="n"/>
      <c r="D13" s="433" t="n"/>
      <c r="E13" s="434" t="n"/>
      <c r="F13" s="356" t="n"/>
      <c r="G13" s="234" t="n"/>
      <c r="H13" s="439">
        <f>H14</f>
        <v/>
      </c>
    </row>
    <row r="14">
      <c r="A14" s="387" t="n">
        <v>2</v>
      </c>
      <c r="B14" s="357" t="n"/>
      <c r="C14" s="273" t="n">
        <v>2</v>
      </c>
      <c r="D14" s="257" t="inlineStr">
        <is>
          <t>Затраты труда машинистов</t>
        </is>
      </c>
      <c r="E14" s="387" t="inlineStr">
        <is>
          <t>чел.-ч</t>
        </is>
      </c>
      <c r="F14" s="387" t="n">
        <v>14.16</v>
      </c>
      <c r="G14" s="255" t="n"/>
      <c r="H14" s="276" t="n">
        <v>191.14</v>
      </c>
    </row>
    <row r="15" customFormat="1" s="233">
      <c r="A15" s="356" t="inlineStr">
        <is>
          <t>Машины и механизмы</t>
        </is>
      </c>
      <c r="B15" s="433" t="n"/>
      <c r="C15" s="433" t="n"/>
      <c r="D15" s="433" t="n"/>
      <c r="E15" s="434" t="n"/>
      <c r="F15" s="356" t="n"/>
      <c r="G15" s="234" t="n"/>
      <c r="H15" s="439">
        <f>SUM(H16:H18)</f>
        <v/>
      </c>
    </row>
    <row r="16">
      <c r="A16" s="387" t="n">
        <v>3</v>
      </c>
      <c r="B16" s="357" t="n"/>
      <c r="C16" s="273" t="inlineStr">
        <is>
          <t>91.06.09-001</t>
        </is>
      </c>
      <c r="D16" s="257" t="inlineStr">
        <is>
          <t>Вышки телескопические 25 м</t>
        </is>
      </c>
      <c r="E16" s="387" t="inlineStr">
        <is>
          <t>маш.час</t>
        </is>
      </c>
      <c r="F16" s="387" t="n">
        <v>14.12</v>
      </c>
      <c r="G16" s="255" t="n">
        <v>142.7</v>
      </c>
      <c r="H16" s="255">
        <f>ROUND(F16*G16,2)</f>
        <v/>
      </c>
      <c r="I16" s="289" t="n"/>
      <c r="J16" s="289" t="n"/>
      <c r="L16" s="289" t="n"/>
    </row>
    <row r="17" ht="26.4" customFormat="1" customHeight="1" s="233">
      <c r="A17" s="387" t="n">
        <v>4</v>
      </c>
      <c r="B17" s="357" t="n"/>
      <c r="C17" s="273" t="inlineStr">
        <is>
          <t>91.05.05-015</t>
        </is>
      </c>
      <c r="D17" s="257" t="inlineStr">
        <is>
          <t>Краны на автомобильном ходу, грузоподъемность 16 т</t>
        </is>
      </c>
      <c r="E17" s="387" t="inlineStr">
        <is>
          <t>маш.час</t>
        </is>
      </c>
      <c r="F17" s="387" t="n">
        <v>0.02</v>
      </c>
      <c r="G17" s="255" t="n">
        <v>115.4</v>
      </c>
      <c r="H17" s="255">
        <f>ROUND(F17*G17,2)</f>
        <v/>
      </c>
      <c r="I17" s="289" t="n"/>
      <c r="J17" s="289" t="n"/>
      <c r="K17" s="290" t="n"/>
      <c r="L17" s="289" t="n"/>
    </row>
    <row r="18" customFormat="1" s="233">
      <c r="A18" s="387" t="n">
        <v>5</v>
      </c>
      <c r="B18" s="357" t="n"/>
      <c r="C18" s="273" t="inlineStr">
        <is>
          <t>91.14.02-001</t>
        </is>
      </c>
      <c r="D18" s="257" t="inlineStr">
        <is>
          <t>Автомобили бортовые, грузоподъемность до 5 т</t>
        </is>
      </c>
      <c r="E18" s="387" t="inlineStr">
        <is>
          <t>маш.час</t>
        </is>
      </c>
      <c r="F18" s="387" t="n">
        <v>0.02</v>
      </c>
      <c r="G18" s="255" t="n">
        <v>65.70999999999999</v>
      </c>
      <c r="H18" s="255">
        <f>ROUND(F18*G18,2)</f>
        <v/>
      </c>
      <c r="I18" s="289" t="n"/>
      <c r="J18" s="289" t="n"/>
      <c r="K18" s="290" t="n"/>
      <c r="L18" s="289" t="n"/>
    </row>
    <row r="19">
      <c r="A19" s="356" t="inlineStr">
        <is>
          <t>Материалы</t>
        </is>
      </c>
      <c r="B19" s="433" t="n"/>
      <c r="C19" s="433" t="n"/>
      <c r="D19" s="433" t="n"/>
      <c r="E19" s="434" t="n"/>
      <c r="F19" s="356" t="n"/>
      <c r="G19" s="234" t="n"/>
      <c r="H19" s="439">
        <f>SUM(H20:H23)</f>
        <v/>
      </c>
    </row>
    <row r="20">
      <c r="A20" s="287" t="n">
        <v>6</v>
      </c>
      <c r="B20" s="287" t="n"/>
      <c r="C20" s="387" t="inlineStr">
        <is>
          <t>Прайс из СД ОП</t>
        </is>
      </c>
      <c r="D20" s="284" t="inlineStr">
        <is>
          <t>Муфта соединительная 10 кВ сечением 800 мм2</t>
        </is>
      </c>
      <c r="E20" s="387" t="inlineStr">
        <is>
          <t>шт</t>
        </is>
      </c>
      <c r="F20" s="387" t="n">
        <v>6</v>
      </c>
      <c r="G20" s="284" t="n">
        <v>1020.26</v>
      </c>
      <c r="H20" s="255">
        <f>ROUND(F20*G20,2)</f>
        <v/>
      </c>
    </row>
    <row r="21">
      <c r="A21" s="258" t="n">
        <v>7</v>
      </c>
      <c r="B21" s="357" t="n"/>
      <c r="C21" s="273" t="inlineStr">
        <is>
          <t>01.3.01.01-0001</t>
        </is>
      </c>
      <c r="D21" s="257" t="inlineStr">
        <is>
          <t>Бензин авиационный Б-70</t>
        </is>
      </c>
      <c r="E21" s="387" t="inlineStr">
        <is>
          <t>т</t>
        </is>
      </c>
      <c r="F21" s="387" t="n">
        <v>0.0008</v>
      </c>
      <c r="G21" s="255" t="n">
        <v>4488.4</v>
      </c>
      <c r="H21" s="255">
        <f>ROUND(F21*G21,2)</f>
        <v/>
      </c>
      <c r="I21" s="259" t="n"/>
      <c r="J21" s="289" t="n"/>
      <c r="K21" s="289" t="n"/>
    </row>
    <row r="22">
      <c r="A22" s="258" t="n">
        <v>8</v>
      </c>
      <c r="B22" s="357" t="n"/>
      <c r="C22" s="273" t="inlineStr">
        <is>
          <t>01.7.06.07-0002</t>
        </is>
      </c>
      <c r="D22" s="257" t="inlineStr">
        <is>
          <t>Лента монтажная, тип ЛМ-5</t>
        </is>
      </c>
      <c r="E22" s="387" t="inlineStr">
        <is>
          <t>10 м</t>
        </is>
      </c>
      <c r="F22" s="387" t="n">
        <v>0.048</v>
      </c>
      <c r="G22" s="255" t="n">
        <v>6.9</v>
      </c>
      <c r="H22" s="255">
        <f>ROUND(F22*G22,2)</f>
        <v/>
      </c>
      <c r="I22" s="259" t="n"/>
      <c r="J22" s="289" t="n"/>
      <c r="K22" s="289" t="n"/>
    </row>
    <row r="23">
      <c r="A23" s="287" t="n">
        <v>9</v>
      </c>
      <c r="B23" s="357" t="n"/>
      <c r="C23" s="273" t="inlineStr">
        <is>
          <t>01.3.01.05-0009</t>
        </is>
      </c>
      <c r="D23" s="257" t="inlineStr">
        <is>
          <t>Парафин нефтяной твердый Т-1</t>
        </is>
      </c>
      <c r="E23" s="387" t="inlineStr">
        <is>
          <t>т</t>
        </is>
      </c>
      <c r="F23" s="387" t="n">
        <v>2e-05</v>
      </c>
      <c r="G23" s="255" t="n">
        <v>8105.71</v>
      </c>
      <c r="H23" s="255">
        <f>ROUND(F23*G23,2)</f>
        <v/>
      </c>
      <c r="I23" s="259" t="n"/>
      <c r="J23" s="289" t="n"/>
      <c r="K23" s="289" t="n"/>
    </row>
    <row r="25">
      <c r="B25" s="320" t="inlineStr">
        <is>
          <t>Составил ______________________     А.Р. Маркова</t>
        </is>
      </c>
    </row>
    <row r="26">
      <c r="B26" s="221" t="inlineStr">
        <is>
          <t xml:space="preserve">                         (подпись, инициалы, фамилия)</t>
        </is>
      </c>
    </row>
    <row r="28">
      <c r="B28" s="320" t="inlineStr">
        <is>
          <t>Проверил ______________________        А.В. Костянецкая</t>
        </is>
      </c>
    </row>
    <row r="29">
      <c r="B29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2" sqref="D42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33203125" customWidth="1" style="318" min="6" max="6"/>
    <col width="14.33203125" customWidth="1" style="318" min="7" max="7"/>
    <col width="9.109375" customWidth="1" style="318" min="8" max="11"/>
    <col width="13.6640625" customWidth="1" style="318" min="12" max="12"/>
    <col width="9.109375" customWidth="1" style="318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82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40" t="inlineStr">
        <is>
          <t>Ресурсная модель</t>
        </is>
      </c>
    </row>
    <row r="6">
      <c r="B6" s="248" t="n"/>
      <c r="C6" s="301" t="n"/>
      <c r="D6" s="301" t="n"/>
      <c r="E6" s="301" t="n"/>
    </row>
    <row r="7" ht="25.5" customHeight="1" s="318">
      <c r="B7" s="361" t="inlineStr">
        <is>
          <t>Наименование разрабатываемого показателя УНЦ — Муфта соединительная 10 кВ сечением 800 мм2.</t>
        </is>
      </c>
    </row>
    <row r="8">
      <c r="B8" s="362" t="inlineStr">
        <is>
          <t>Единица измерения  — 1 ед</t>
        </is>
      </c>
    </row>
    <row r="9">
      <c r="B9" s="248" t="n"/>
      <c r="C9" s="301" t="n"/>
      <c r="D9" s="301" t="n"/>
      <c r="E9" s="301" t="n"/>
    </row>
    <row r="10" ht="51" customHeight="1" s="318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3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3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3">
        <f>'Прил.5 Расчет СМР и ОБ'!J24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3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3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3">
        <f>'Прил.5 Расчет СМР и ОБ'!J35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3">
        <f>'Прил.5 Расчет СМР и ОБ'!J39</f>
        <v/>
      </c>
      <c r="D17" s="242">
        <f>C17/$C$24</f>
        <v/>
      </c>
      <c r="E17" s="242">
        <f>C17/$C$40</f>
        <v/>
      </c>
      <c r="G17" s="442" t="n"/>
    </row>
    <row r="18">
      <c r="B18" s="240" t="inlineStr">
        <is>
          <t>МАТЕРИАЛЫ, ВСЕГО:</t>
        </is>
      </c>
      <c r="C18" s="303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3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3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ОБ'!D43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3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ОБ'!D42</f>
        <v/>
      </c>
      <c r="D23" s="242" t="n"/>
      <c r="E23" s="240" t="n"/>
    </row>
    <row r="24">
      <c r="B24" s="240" t="inlineStr">
        <is>
          <t>ВСЕГО СМР с НР и СП</t>
        </is>
      </c>
      <c r="C24" s="303">
        <f>C19+C20+C22</f>
        <v/>
      </c>
      <c r="D24" s="242">
        <f>C24/$C$24</f>
        <v/>
      </c>
      <c r="E24" s="242">
        <f>C24/$C$40</f>
        <v/>
      </c>
    </row>
    <row r="25" ht="25.5" customHeight="1" s="318">
      <c r="B25" s="240" t="inlineStr">
        <is>
          <t>ВСЕГО стоимость оборудования, в том числе</t>
        </is>
      </c>
      <c r="C25" s="303">
        <f>'Прил.5 Расчет СМР и ОБ'!J30</f>
        <v/>
      </c>
      <c r="D25" s="242" t="n"/>
      <c r="E25" s="242">
        <f>C25/$C$40</f>
        <v/>
      </c>
    </row>
    <row r="26" ht="25.5" customHeight="1" s="318">
      <c r="B26" s="240" t="inlineStr">
        <is>
          <t>стоимость оборудования технологического</t>
        </is>
      </c>
      <c r="C26" s="303">
        <f>'Прил.5 Расчет СМР и ОБ'!J31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8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8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8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4" t="n">
        <v>0</v>
      </c>
      <c r="D31" s="240" t="n"/>
      <c r="E31" s="242">
        <f>C31/$C$40</f>
        <v/>
      </c>
    </row>
    <row r="32" ht="25.5" customHeight="1" s="318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8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8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65000000000001" customHeight="1" s="318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8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8">
      <c r="B38" s="240" t="inlineStr">
        <is>
          <t>ИТОГО (СМР+ОБОРУДОВАНИЕ+ПРОЧ. ЗАТР., УЧТЕННЫЕ ПОКАЗАТЕЛЕМ)</t>
        </is>
      </c>
      <c r="C38" s="303">
        <f>C27+C32+C33+C34+C35+C29+C31+C30+C36+C37</f>
        <v/>
      </c>
      <c r="D38" s="240" t="n"/>
      <c r="E38" s="242">
        <f>C38/$C$40</f>
        <v/>
      </c>
    </row>
    <row r="39" ht="13.65" customHeight="1" s="318">
      <c r="B39" s="240" t="inlineStr">
        <is>
          <t>Непредвиденные расходы</t>
        </is>
      </c>
      <c r="C39" s="303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3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3">
        <f>C40/'Прил.5 Расчет СМР и ОБ'!E46</f>
        <v/>
      </c>
      <c r="D41" s="240" t="n"/>
      <c r="E41" s="240" t="n"/>
    </row>
    <row r="42">
      <c r="B42" s="305" t="n"/>
      <c r="C42" s="301" t="n"/>
      <c r="D42" s="301" t="n"/>
      <c r="E42" s="301" t="n"/>
    </row>
    <row r="43">
      <c r="B43" s="305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305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305" t="n"/>
      <c r="C45" s="301" t="n"/>
      <c r="D45" s="301" t="n"/>
      <c r="E45" s="301" t="n"/>
    </row>
    <row r="46">
      <c r="B46" s="305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6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19" workbookViewId="0">
      <selection activeCell="E48" sqref="E48"/>
    </sheetView>
  </sheetViews>
  <sheetFormatPr baseColWidth="8" defaultColWidth="9.109375" defaultRowHeight="14.4" outlineLevelRow="1"/>
  <cols>
    <col width="5.6640625" customWidth="1" style="308" min="1" max="1"/>
    <col width="22.664062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33203125" customWidth="1" style="308" min="7" max="7"/>
    <col width="12.6640625" customWidth="1" style="308" min="8" max="8"/>
    <col width="13.88671875" customWidth="1" style="308" min="9" max="9"/>
    <col width="17.6640625" customWidth="1" style="308" min="10" max="10"/>
    <col width="10.88671875" customWidth="1" style="308" min="11" max="11"/>
    <col width="9.109375" customWidth="1" style="308" min="12" max="12"/>
    <col width="9.109375" customWidth="1" style="318" min="13" max="13"/>
  </cols>
  <sheetData>
    <row r="1" s="318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18">
      <c r="A2" s="308" t="n"/>
      <c r="B2" s="308" t="n"/>
      <c r="C2" s="308" t="n"/>
      <c r="D2" s="308" t="n"/>
      <c r="E2" s="308" t="n"/>
      <c r="F2" s="308" t="n"/>
      <c r="G2" s="308" t="n"/>
      <c r="H2" s="363" t="inlineStr">
        <is>
          <t>Приложение №5</t>
        </is>
      </c>
      <c r="K2" s="308" t="n"/>
      <c r="L2" s="308" t="n"/>
      <c r="M2" s="308" t="n"/>
      <c r="N2" s="308" t="n"/>
    </row>
    <row r="3" s="318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1">
      <c r="A4" s="340" t="inlineStr">
        <is>
          <t>Расчет стоимости СМР и оборудования</t>
        </is>
      </c>
    </row>
    <row r="5" ht="12.75" customFormat="1" customHeight="1" s="30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1">
      <c r="A6" s="208" t="inlineStr">
        <is>
          <t>Наименование разрабатываемого показателя УНЦ</t>
        </is>
      </c>
      <c r="B6" s="207" t="n"/>
      <c r="C6" s="207" t="n"/>
      <c r="D6" s="369" t="inlineStr">
        <is>
          <t>Муфта соединительная 10 кВ сечением 800 мм2.</t>
        </is>
      </c>
    </row>
    <row r="7" ht="12.75" customFormat="1" customHeight="1" s="301">
      <c r="A7" s="343" t="inlineStr">
        <is>
          <t>Единица измерения  — 1 ед</t>
        </is>
      </c>
      <c r="I7" s="361" t="n"/>
      <c r="J7" s="361" t="n"/>
    </row>
    <row r="8" ht="13.65" customFormat="1" customHeight="1" s="301">
      <c r="A8" s="343" t="n"/>
    </row>
    <row r="9" ht="13.2" customFormat="1" customHeight="1" s="301"/>
    <row r="10" ht="27" customHeight="1" s="318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4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4" t="n"/>
      <c r="K10" s="308" t="n"/>
      <c r="L10" s="308" t="n"/>
      <c r="M10" s="308" t="n"/>
      <c r="N10" s="308" t="n"/>
    </row>
    <row r="11" ht="28.5" customHeight="1" s="318">
      <c r="A11" s="436" t="n"/>
      <c r="B11" s="436" t="n"/>
      <c r="C11" s="436" t="n"/>
      <c r="D11" s="436" t="n"/>
      <c r="E11" s="436" t="n"/>
      <c r="F11" s="366" t="inlineStr">
        <is>
          <t>на ед. изм.</t>
        </is>
      </c>
      <c r="G11" s="366" t="inlineStr">
        <is>
          <t>общая</t>
        </is>
      </c>
      <c r="H11" s="436" t="n"/>
      <c r="I11" s="366" t="inlineStr">
        <is>
          <t>на ед. изм.</t>
        </is>
      </c>
      <c r="J11" s="366" t="inlineStr">
        <is>
          <t>общая</t>
        </is>
      </c>
      <c r="K11" s="308" t="n"/>
      <c r="L11" s="308" t="n"/>
      <c r="M11" s="308" t="n"/>
      <c r="N11" s="308" t="n"/>
    </row>
    <row r="12" s="318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7" t="n">
        <v>9</v>
      </c>
      <c r="J12" s="367" t="n">
        <v>10</v>
      </c>
      <c r="K12" s="308" t="n"/>
      <c r="L12" s="308" t="n"/>
      <c r="M12" s="308" t="n"/>
      <c r="N12" s="308" t="n"/>
    </row>
    <row r="13">
      <c r="A13" s="366" t="n"/>
      <c r="B13" s="355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195" t="n"/>
      <c r="J13" s="195" t="n"/>
    </row>
    <row r="14" ht="25.5" customHeight="1" s="318">
      <c r="A14" s="366" t="n">
        <v>1</v>
      </c>
      <c r="B14" s="271" t="inlineStr">
        <is>
          <t>1-3-8</t>
        </is>
      </c>
      <c r="C14" s="374" t="inlineStr">
        <is>
          <t>Затраты труда рабочих-строителей среднего разряда (3,8)</t>
        </is>
      </c>
      <c r="D14" s="366" t="inlineStr">
        <is>
          <t>чел.-ч.</t>
        </is>
      </c>
      <c r="E14" s="443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08">
      <c r="A15" s="366" t="n"/>
      <c r="B15" s="366" t="n"/>
      <c r="C15" s="355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43">
        <f>SUM(E14:E14)</f>
        <v/>
      </c>
      <c r="F15" s="202" t="n"/>
      <c r="G15" s="202">
        <f>SUM(G14:G14)</f>
        <v/>
      </c>
      <c r="H15" s="377" t="n">
        <v>1</v>
      </c>
      <c r="I15" s="195" t="n"/>
      <c r="J15" s="202">
        <f>SUM(J14:J14)</f>
        <v/>
      </c>
    </row>
    <row r="16" ht="14.25" customFormat="1" customHeight="1" s="308">
      <c r="A16" s="366" t="n"/>
      <c r="B16" s="374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195" t="n"/>
      <c r="J16" s="195" t="n"/>
    </row>
    <row r="17" ht="14.25" customFormat="1" customHeight="1" s="308">
      <c r="A17" s="366" t="n">
        <v>2</v>
      </c>
      <c r="B17" s="366" t="n">
        <v>2</v>
      </c>
      <c r="C17" s="374" t="inlineStr">
        <is>
          <t>Затраты труда машинистов</t>
        </is>
      </c>
      <c r="D17" s="366" t="inlineStr">
        <is>
          <t>чел.-ч.</t>
        </is>
      </c>
      <c r="E17" s="443" t="n">
        <v>14.16</v>
      </c>
      <c r="F17" s="202">
        <f>G17/E17</f>
        <v/>
      </c>
      <c r="G17" s="202">
        <f>'Прил. 3'!H13</f>
        <v/>
      </c>
      <c r="H17" s="377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08">
      <c r="A18" s="366" t="n"/>
      <c r="B18" s="355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195" t="n"/>
      <c r="J18" s="195" t="n"/>
    </row>
    <row r="19" ht="14.25" customFormat="1" customHeight="1" s="308">
      <c r="A19" s="366" t="n"/>
      <c r="B19" s="374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195" t="n"/>
      <c r="J19" s="195" t="n"/>
    </row>
    <row r="20" ht="14.25" customFormat="1" customHeight="1" s="308">
      <c r="A20" s="366" t="n">
        <v>3</v>
      </c>
      <c r="B20" s="273" t="inlineStr">
        <is>
          <t>91.06.09-001</t>
        </is>
      </c>
      <c r="C20" s="257" t="inlineStr">
        <is>
          <t>Вышки телескопические 25 м</t>
        </is>
      </c>
      <c r="D20" s="387" t="inlineStr">
        <is>
          <t>маш.час</t>
        </is>
      </c>
      <c r="E20" s="444" t="n">
        <v>14.12</v>
      </c>
      <c r="F20" s="255" t="n">
        <v>142.7</v>
      </c>
      <c r="G20" s="202">
        <f>ROUND(E20*F20,2)</f>
        <v/>
      </c>
      <c r="H20" s="204">
        <f>G20/$G$25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308">
      <c r="A21" s="366" t="n"/>
      <c r="B21" s="366" t="n"/>
      <c r="C21" s="374" t="inlineStr">
        <is>
          <t>Итого основные машины и механизмы</t>
        </is>
      </c>
      <c r="D21" s="366" t="n"/>
      <c r="E21" s="443" t="n"/>
      <c r="F21" s="202" t="n"/>
      <c r="G21" s="202">
        <f>SUM(G20:G20)</f>
        <v/>
      </c>
      <c r="H21" s="373">
        <f>G21/G25</f>
        <v/>
      </c>
      <c r="I21" s="282" t="n"/>
      <c r="J21" s="283">
        <f>SUM(J20:J20)</f>
        <v/>
      </c>
    </row>
    <row r="22" ht="25.5" customFormat="1" customHeight="1" s="308">
      <c r="A22" s="366" t="n">
        <v>4</v>
      </c>
      <c r="B22" s="273" t="inlineStr">
        <is>
          <t>91.05.05-015</t>
        </is>
      </c>
      <c r="C22" s="257" t="inlineStr">
        <is>
          <t>Краны на автомобильном ходу, грузоподъемность 16 т</t>
        </is>
      </c>
      <c r="D22" s="387" t="inlineStr">
        <is>
          <t>маш.час</t>
        </is>
      </c>
      <c r="E22" s="444" t="n">
        <v>0.02</v>
      </c>
      <c r="F22" s="255" t="n">
        <v>115.4</v>
      </c>
      <c r="G22" s="196">
        <f>ROUND(E22*F22,2)</f>
        <v/>
      </c>
      <c r="H22" s="204">
        <f>G22/$G$25</f>
        <v/>
      </c>
      <c r="I22" s="202">
        <f>ROUND(F22*'Прил. 10'!$D$12,2)</f>
        <v/>
      </c>
      <c r="J22" s="202">
        <f>ROUND(I22*E22,2)</f>
        <v/>
      </c>
    </row>
    <row r="23" ht="25.5" customFormat="1" customHeight="1" s="308">
      <c r="A23" s="366" t="n">
        <v>5</v>
      </c>
      <c r="B23" s="273" t="inlineStr">
        <is>
          <t>91.14.02-001</t>
        </is>
      </c>
      <c r="C23" s="257" t="inlineStr">
        <is>
          <t>Автомобили бортовые, грузоподъемность до 5 т</t>
        </is>
      </c>
      <c r="D23" s="387" t="inlineStr">
        <is>
          <t>маш.час</t>
        </is>
      </c>
      <c r="E23" s="444" t="n">
        <v>0.02</v>
      </c>
      <c r="F23" s="255" t="n">
        <v>65.70999999999999</v>
      </c>
      <c r="G23" s="196">
        <f>ROUND(E23*F23,2)</f>
        <v/>
      </c>
      <c r="H23" s="204">
        <f>G23/$G$25</f>
        <v/>
      </c>
      <c r="I23" s="202">
        <f>ROUND(F23*'Прил. 10'!$D$12,2)</f>
        <v/>
      </c>
      <c r="J23" s="202">
        <f>ROUND(I23*E23,2)</f>
        <v/>
      </c>
    </row>
    <row r="24" ht="14.25" customFormat="1" customHeight="1" s="308">
      <c r="A24" s="366" t="n"/>
      <c r="B24" s="366" t="n"/>
      <c r="C24" s="374" t="inlineStr">
        <is>
          <t>Итого прочие машины и механизмы</t>
        </is>
      </c>
      <c r="D24" s="366" t="n"/>
      <c r="E24" s="375" t="n"/>
      <c r="F24" s="202" t="n"/>
      <c r="G24" s="196">
        <f>G23</f>
        <v/>
      </c>
      <c r="H24" s="204">
        <f>G24/G25</f>
        <v/>
      </c>
      <c r="I24" s="202" t="n"/>
      <c r="J24" s="202">
        <f>J22+J23</f>
        <v/>
      </c>
    </row>
    <row r="25" ht="25.5" customFormat="1" customHeight="1" s="308">
      <c r="A25" s="366" t="n"/>
      <c r="B25" s="366" t="n"/>
      <c r="C25" s="355" t="inlineStr">
        <is>
          <t>Итого по разделу «Машины и механизмы»</t>
        </is>
      </c>
      <c r="D25" s="366" t="n"/>
      <c r="E25" s="375" t="n"/>
      <c r="F25" s="202" t="n"/>
      <c r="G25" s="202">
        <f>G24+G21</f>
        <v/>
      </c>
      <c r="H25" s="189" t="n">
        <v>1</v>
      </c>
      <c r="I25" s="190" t="n"/>
      <c r="J25" s="216">
        <f>J24+J21</f>
        <v/>
      </c>
    </row>
    <row r="26" ht="14.25" customFormat="1" customHeight="1" s="308">
      <c r="A26" s="366" t="n"/>
      <c r="B26" s="355" t="inlineStr">
        <is>
          <t>Оборудование</t>
        </is>
      </c>
      <c r="C26" s="433" t="n"/>
      <c r="D26" s="433" t="n"/>
      <c r="E26" s="433" t="n"/>
      <c r="F26" s="433" t="n"/>
      <c r="G26" s="433" t="n"/>
      <c r="H26" s="434" t="n"/>
      <c r="I26" s="195" t="n"/>
      <c r="J26" s="195" t="n"/>
    </row>
    <row r="27">
      <c r="A27" s="366" t="n"/>
      <c r="B27" s="374" t="inlineStr">
        <is>
          <t>Основное оборудование</t>
        </is>
      </c>
      <c r="C27" s="433" t="n"/>
      <c r="D27" s="433" t="n"/>
      <c r="E27" s="433" t="n"/>
      <c r="F27" s="433" t="n"/>
      <c r="G27" s="433" t="n"/>
      <c r="H27" s="434" t="n"/>
      <c r="I27" s="195" t="n"/>
      <c r="J27" s="195" t="n"/>
      <c r="K27" s="308" t="n"/>
      <c r="L27" s="308" t="n"/>
    </row>
    <row r="28">
      <c r="A28" s="366" t="n"/>
      <c r="B28" s="366" t="n"/>
      <c r="C28" s="374" t="inlineStr">
        <is>
          <t>Итого основное оборудование</t>
        </is>
      </c>
      <c r="D28" s="366" t="n"/>
      <c r="E28" s="445" t="n"/>
      <c r="F28" s="376" t="n"/>
      <c r="G28" s="202" t="n">
        <v>0</v>
      </c>
      <c r="H28" s="204" t="n">
        <v>0</v>
      </c>
      <c r="I28" s="196" t="n"/>
      <c r="J28" s="202" t="n">
        <v>0</v>
      </c>
      <c r="K28" s="308" t="n"/>
      <c r="L28" s="308" t="n"/>
    </row>
    <row r="29">
      <c r="A29" s="366" t="n"/>
      <c r="B29" s="366" t="n"/>
      <c r="C29" s="374" t="inlineStr">
        <is>
          <t>Итого прочее оборудование</t>
        </is>
      </c>
      <c r="D29" s="366" t="n"/>
      <c r="E29" s="443" t="n"/>
      <c r="F29" s="376" t="n"/>
      <c r="G29" s="202" t="n">
        <v>0</v>
      </c>
      <c r="H29" s="204" t="n">
        <v>0</v>
      </c>
      <c r="I29" s="196" t="n"/>
      <c r="J29" s="202" t="n">
        <v>0</v>
      </c>
      <c r="K29" s="308" t="n"/>
      <c r="L29" s="308" t="n"/>
    </row>
    <row r="30">
      <c r="A30" s="366" t="n"/>
      <c r="B30" s="366" t="n"/>
      <c r="C30" s="355" t="inlineStr">
        <is>
          <t>Итого по разделу «Оборудование»</t>
        </is>
      </c>
      <c r="D30" s="366" t="n"/>
      <c r="E30" s="375" t="n"/>
      <c r="F30" s="376" t="n"/>
      <c r="G30" s="202">
        <f>G28+G29</f>
        <v/>
      </c>
      <c r="H30" s="204" t="n">
        <v>0</v>
      </c>
      <c r="I30" s="196" t="n"/>
      <c r="J30" s="202">
        <f>J29+J28</f>
        <v/>
      </c>
      <c r="K30" s="308" t="n"/>
      <c r="L30" s="308" t="n"/>
    </row>
    <row r="31" ht="25.5" customHeight="1" s="318">
      <c r="A31" s="366" t="n"/>
      <c r="B31" s="366" t="n"/>
      <c r="C31" s="374" t="inlineStr">
        <is>
          <t>в том числе технологическое оборудование</t>
        </is>
      </c>
      <c r="D31" s="366" t="n"/>
      <c r="E31" s="445" t="n"/>
      <c r="F31" s="376" t="n"/>
      <c r="G31" s="202">
        <f>'Прил.6 Расчет ОБ'!G12</f>
        <v/>
      </c>
      <c r="H31" s="377" t="n"/>
      <c r="I31" s="196" t="n"/>
      <c r="J31" s="202">
        <f>J30</f>
        <v/>
      </c>
      <c r="K31" s="308" t="n"/>
      <c r="L31" s="308" t="n"/>
    </row>
    <row r="32" ht="14.25" customFormat="1" customHeight="1" s="308">
      <c r="A32" s="366" t="n"/>
      <c r="B32" s="355" t="inlineStr">
        <is>
          <t>Материалы</t>
        </is>
      </c>
      <c r="C32" s="433" t="n"/>
      <c r="D32" s="433" t="n"/>
      <c r="E32" s="433" t="n"/>
      <c r="F32" s="433" t="n"/>
      <c r="G32" s="433" t="n"/>
      <c r="H32" s="434" t="n"/>
      <c r="I32" s="195" t="n"/>
      <c r="J32" s="195" t="n"/>
    </row>
    <row r="33" ht="14.25" customFormat="1" customHeight="1" s="308">
      <c r="A33" s="367" t="n"/>
      <c r="B33" s="370" t="inlineStr">
        <is>
          <t>Основные материалы</t>
        </is>
      </c>
      <c r="C33" s="446" t="n"/>
      <c r="D33" s="446" t="n"/>
      <c r="E33" s="446" t="n"/>
      <c r="F33" s="446" t="n"/>
      <c r="G33" s="446" t="n"/>
      <c r="H33" s="447" t="n"/>
      <c r="I33" s="210" t="n"/>
      <c r="J33" s="210" t="n"/>
    </row>
    <row r="34" ht="25.5" customFormat="1" customHeight="1" s="308">
      <c r="A34" s="366" t="n">
        <v>6</v>
      </c>
      <c r="B34" s="366" t="inlineStr">
        <is>
          <t>БЦ.91.152</t>
        </is>
      </c>
      <c r="C34" s="257" t="inlineStr">
        <is>
          <t>Муфта соединительная 10 кВ сечением 800 мм2</t>
        </is>
      </c>
      <c r="D34" s="366" t="inlineStr">
        <is>
          <t>шт</t>
        </is>
      </c>
      <c r="E34" s="445" t="n">
        <v>6</v>
      </c>
      <c r="F34" s="376">
        <f>ROUND(I34/'Прил. 10'!$D$13,2)</f>
        <v/>
      </c>
      <c r="G34" s="202">
        <f>ROUND(E34*F34,2)</f>
        <v/>
      </c>
      <c r="H34" s="204">
        <f>G34/$G$40</f>
        <v/>
      </c>
      <c r="I34" s="202" t="n">
        <v>4694.88</v>
      </c>
      <c r="J34" s="202">
        <f>ROUND(I34*E34,2)</f>
        <v/>
      </c>
    </row>
    <row r="35" ht="14.25" customFormat="1" customHeight="1" s="308">
      <c r="A35" s="368" t="n"/>
      <c r="B35" s="212" t="n"/>
      <c r="C35" s="277" t="inlineStr">
        <is>
          <t>Итого основные материалы</t>
        </is>
      </c>
      <c r="D35" s="368" t="n"/>
      <c r="E35" s="448" t="n"/>
      <c r="F35" s="216" t="n"/>
      <c r="G35" s="216">
        <f>SUM(G34:G34)</f>
        <v/>
      </c>
      <c r="H35" s="204">
        <f>G35/$G$40</f>
        <v/>
      </c>
      <c r="I35" s="202" t="n"/>
      <c r="J35" s="216">
        <f>SUM(J34:J34)</f>
        <v/>
      </c>
    </row>
    <row r="36" outlineLevel="1" ht="14.25" customFormat="1" customHeight="1" s="308">
      <c r="A36" s="366" t="n">
        <v>7</v>
      </c>
      <c r="B36" s="273" t="inlineStr">
        <is>
          <t>01.3.01.01-0001</t>
        </is>
      </c>
      <c r="C36" s="257" t="inlineStr">
        <is>
          <t>Бензин авиационный Б-70</t>
        </is>
      </c>
      <c r="D36" s="387" t="inlineStr">
        <is>
          <t>т</t>
        </is>
      </c>
      <c r="E36" s="444" t="n">
        <v>0.0008</v>
      </c>
      <c r="F36" s="255" t="n">
        <v>4488.4</v>
      </c>
      <c r="G36" s="202">
        <f>ROUND(E36*F36,2)</f>
        <v/>
      </c>
      <c r="H36" s="204">
        <f>G36/$G$40</f>
        <v/>
      </c>
      <c r="I36" s="202">
        <f>ROUND(F36*'Прил. 10'!$D$13,2)</f>
        <v/>
      </c>
      <c r="J36" s="202">
        <f>ROUND(I36*E36,2)</f>
        <v/>
      </c>
    </row>
    <row r="37" outlineLevel="1" ht="14.25" customFormat="1" customHeight="1" s="308">
      <c r="A37" s="366" t="n">
        <v>8</v>
      </c>
      <c r="B37" s="273" t="inlineStr">
        <is>
          <t>01.7.06.07-0002</t>
        </is>
      </c>
      <c r="C37" s="257" t="inlineStr">
        <is>
          <t>Лента монтажная, тип ЛМ-5</t>
        </is>
      </c>
      <c r="D37" s="387" t="inlineStr">
        <is>
          <t>10 м</t>
        </is>
      </c>
      <c r="E37" s="444" t="n">
        <v>0.048</v>
      </c>
      <c r="F37" s="255" t="n">
        <v>6.9</v>
      </c>
      <c r="G37" s="202">
        <f>ROUND(E37*F37,2)</f>
        <v/>
      </c>
      <c r="H37" s="204">
        <f>G37/$G$40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308">
      <c r="A38" s="366" t="n">
        <v>9</v>
      </c>
      <c r="B38" s="273" t="inlineStr">
        <is>
          <t>01.3.01.05-0009</t>
        </is>
      </c>
      <c r="C38" s="257" t="inlineStr">
        <is>
          <t>Парафин нефтяной твердый Т-1</t>
        </is>
      </c>
      <c r="D38" s="387" t="inlineStr">
        <is>
          <t>т</t>
        </is>
      </c>
      <c r="E38" s="444" t="n">
        <v>2e-05</v>
      </c>
      <c r="F38" s="255" t="n">
        <v>8105.71</v>
      </c>
      <c r="G38" s="202">
        <f>ROUND(E38*F38,2)</f>
        <v/>
      </c>
      <c r="H38" s="204">
        <f>G38/$G$40</f>
        <v/>
      </c>
      <c r="I38" s="202">
        <f>ROUND(F38*'Прил. 10'!$D$13,2)</f>
        <v/>
      </c>
      <c r="J38" s="202">
        <f>ROUND(I38*E38,2)</f>
        <v/>
      </c>
    </row>
    <row r="39" ht="14.25" customFormat="1" customHeight="1" s="308">
      <c r="A39" s="368" t="n"/>
      <c r="B39" s="368" t="n"/>
      <c r="C39" s="277" t="inlineStr">
        <is>
          <t>Итого прочие материалы</t>
        </is>
      </c>
      <c r="D39" s="368" t="n"/>
      <c r="E39" s="448" t="n"/>
      <c r="F39" s="278" t="n"/>
      <c r="G39" s="216">
        <f>SUM(G36:G38)</f>
        <v/>
      </c>
      <c r="H39" s="204">
        <f>G39/$G$40</f>
        <v/>
      </c>
      <c r="I39" s="202" t="n"/>
      <c r="J39" s="202">
        <f>SUM(J36:J38)</f>
        <v/>
      </c>
    </row>
    <row r="40" ht="14.25" customFormat="1" customHeight="1" s="308">
      <c r="A40" s="366" t="n"/>
      <c r="B40" s="366" t="n"/>
      <c r="C40" s="355" t="inlineStr">
        <is>
          <t>Итого по разделу «Материалы»</t>
        </is>
      </c>
      <c r="D40" s="366" t="n"/>
      <c r="E40" s="375" t="n"/>
      <c r="F40" s="376" t="n"/>
      <c r="G40" s="202">
        <f>G35+G39</f>
        <v/>
      </c>
      <c r="H40" s="377">
        <f>G40/$G$40</f>
        <v/>
      </c>
      <c r="I40" s="202" t="n"/>
      <c r="J40" s="202">
        <f>J35+J39</f>
        <v/>
      </c>
    </row>
    <row r="41" ht="14.25" customFormat="1" customHeight="1" s="308">
      <c r="A41" s="366" t="n"/>
      <c r="B41" s="366" t="n"/>
      <c r="C41" s="374" t="inlineStr">
        <is>
          <t>ИТОГО ПО РМ</t>
        </is>
      </c>
      <c r="D41" s="366" t="n"/>
      <c r="E41" s="375" t="n"/>
      <c r="F41" s="376" t="n"/>
      <c r="G41" s="202">
        <f>G15+G25+G40</f>
        <v/>
      </c>
      <c r="H41" s="377" t="n"/>
      <c r="I41" s="202" t="n"/>
      <c r="J41" s="202">
        <f>J15+J25+J40</f>
        <v/>
      </c>
    </row>
    <row r="42" ht="14.25" customFormat="1" customHeight="1" s="308">
      <c r="A42" s="366" t="n"/>
      <c r="B42" s="366" t="n"/>
      <c r="C42" s="374" t="inlineStr">
        <is>
          <t>Накладные расходы</t>
        </is>
      </c>
      <c r="D42" s="198">
        <f>ROUND(G42/(G$17+$G$15),2)</f>
        <v/>
      </c>
      <c r="E42" s="375" t="n"/>
      <c r="F42" s="376" t="n"/>
      <c r="G42" s="202" t="n">
        <v>337.13</v>
      </c>
      <c r="H42" s="377" t="n"/>
      <c r="I42" s="202" t="n"/>
      <c r="J42" s="202">
        <f>ROUND(D42*(J15+J17),2)</f>
        <v/>
      </c>
    </row>
    <row r="43" ht="14.25" customFormat="1" customHeight="1" s="308">
      <c r="A43" s="366" t="n"/>
      <c r="B43" s="366" t="n"/>
      <c r="C43" s="374" t="inlineStr">
        <is>
          <t>Сметная прибыль</t>
        </is>
      </c>
      <c r="D43" s="198">
        <f>ROUND(G43/(G$15+G$17),2)</f>
        <v/>
      </c>
      <c r="E43" s="375" t="n"/>
      <c r="F43" s="376" t="n"/>
      <c r="G43" s="202" t="n">
        <v>177.26</v>
      </c>
      <c r="H43" s="377" t="n"/>
      <c r="I43" s="202" t="n"/>
      <c r="J43" s="202">
        <f>ROUND(D43*(J15+J17),2)</f>
        <v/>
      </c>
    </row>
    <row r="44" ht="14.25" customFormat="1" customHeight="1" s="308">
      <c r="A44" s="366" t="n"/>
      <c r="B44" s="366" t="n"/>
      <c r="C44" s="374" t="inlineStr">
        <is>
          <t>Итого СМР (с НР и СП)</t>
        </is>
      </c>
      <c r="D44" s="366" t="n"/>
      <c r="E44" s="375" t="n"/>
      <c r="F44" s="376" t="n"/>
      <c r="G44" s="202">
        <f>G15+G25+G40+G42+G43</f>
        <v/>
      </c>
      <c r="H44" s="377" t="n"/>
      <c r="I44" s="202" t="n"/>
      <c r="J44" s="202">
        <f>J15+J25+J40+J42+J43</f>
        <v/>
      </c>
    </row>
    <row r="45" ht="14.25" customFormat="1" customHeight="1" s="308">
      <c r="A45" s="366" t="n"/>
      <c r="B45" s="366" t="n"/>
      <c r="C45" s="374" t="inlineStr">
        <is>
          <t>ВСЕГО СМР + ОБОРУДОВАНИЕ</t>
        </is>
      </c>
      <c r="D45" s="366" t="n"/>
      <c r="E45" s="375" t="n"/>
      <c r="F45" s="376" t="n"/>
      <c r="G45" s="202">
        <f>G44+G30</f>
        <v/>
      </c>
      <c r="H45" s="377" t="n"/>
      <c r="I45" s="202" t="n"/>
      <c r="J45" s="202">
        <f>J44+J30</f>
        <v/>
      </c>
    </row>
    <row r="46" ht="34.5" customFormat="1" customHeight="1" s="308">
      <c r="A46" s="366" t="n"/>
      <c r="B46" s="366" t="n"/>
      <c r="C46" s="374" t="inlineStr">
        <is>
          <t>ИТОГО ПОКАЗАТЕЛЬ НА ЕД. ИЗМ.</t>
        </is>
      </c>
      <c r="D46" s="366" t="inlineStr">
        <is>
          <t>1 ед</t>
        </is>
      </c>
      <c r="E46" s="445" t="n">
        <v>1</v>
      </c>
      <c r="F46" s="376" t="n"/>
      <c r="G46" s="202">
        <f>G45/E46</f>
        <v/>
      </c>
      <c r="H46" s="377" t="n"/>
      <c r="I46" s="202" t="n"/>
      <c r="J46" s="202">
        <f>J45/E46</f>
        <v/>
      </c>
    </row>
    <row r="48" ht="14.25" customFormat="1" customHeight="1" s="308">
      <c r="A48" s="301" t="inlineStr">
        <is>
          <t>Составил ______________________    А.Р. Маркова</t>
        </is>
      </c>
    </row>
    <row r="49" ht="14.25" customFormat="1" customHeight="1" s="308">
      <c r="A49" s="309" t="inlineStr">
        <is>
          <t xml:space="preserve">                         (подпись, инициалы, фамилия)</t>
        </is>
      </c>
    </row>
    <row r="50" ht="14.25" customFormat="1" customHeight="1" s="308">
      <c r="A50" s="301" t="n"/>
    </row>
    <row r="51" ht="14.25" customFormat="1" customHeight="1" s="308">
      <c r="A51" s="301" t="inlineStr">
        <is>
          <t>Проверил ______________________        А.В. Костянецкая</t>
        </is>
      </c>
    </row>
    <row r="52" ht="14.25" customFormat="1" customHeight="1" s="308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3" workbookViewId="0">
      <selection activeCell="F34" sqref="F34"/>
    </sheetView>
  </sheetViews>
  <sheetFormatPr baseColWidth="8" defaultRowHeight="14.4"/>
  <cols>
    <col width="5.6640625" customWidth="1" style="318" min="1" max="1"/>
    <col width="17.664062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2" t="inlineStr">
        <is>
          <t>Приложение №6</t>
        </is>
      </c>
    </row>
    <row r="2" ht="21.75" customHeight="1" s="318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соединительная 10 кВ сечением 800 мм2.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.15" customHeight="1" s="318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8">
      <c r="A9" s="240" t="n"/>
      <c r="B9" s="374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8">
      <c r="A10" s="366" t="n"/>
      <c r="B10" s="355" t="n"/>
      <c r="C10" s="374" t="inlineStr">
        <is>
          <t>ИТОГО ИНЖЕНЕРНОЕ ОБОРУДОВАНИЕ</t>
        </is>
      </c>
      <c r="D10" s="355" t="n"/>
      <c r="E10" s="142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8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2" t="n">
        <v>0</v>
      </c>
    </row>
    <row r="13" ht="19.5" customHeight="1" s="318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2">
        <f>G10+G12</f>
        <v/>
      </c>
    </row>
    <row r="14">
      <c r="A14" s="306" t="n"/>
      <c r="B14" s="307" t="n"/>
      <c r="C14" s="306" t="n"/>
      <c r="D14" s="306" t="n"/>
      <c r="E14" s="306" t="n"/>
      <c r="F14" s="306" t="n"/>
      <c r="G14" s="306" t="n"/>
    </row>
    <row r="15">
      <c r="A15" s="301" t="inlineStr">
        <is>
          <t>Составил ______________________    А.Р. Маркова</t>
        </is>
      </c>
      <c r="B15" s="308" t="n"/>
      <c r="C15" s="308" t="n"/>
      <c r="D15" s="306" t="n"/>
      <c r="E15" s="306" t="n"/>
      <c r="F15" s="306" t="n"/>
      <c r="G15" s="306" t="n"/>
    </row>
    <row r="16">
      <c r="A16" s="309" t="inlineStr">
        <is>
          <t xml:space="preserve">                         (подпись, инициалы, фамилия)</t>
        </is>
      </c>
      <c r="B16" s="308" t="n"/>
      <c r="C16" s="308" t="n"/>
      <c r="D16" s="306" t="n"/>
      <c r="E16" s="306" t="n"/>
      <c r="F16" s="306" t="n"/>
      <c r="G16" s="306" t="n"/>
    </row>
    <row r="17">
      <c r="A17" s="301" t="n"/>
      <c r="B17" s="308" t="n"/>
      <c r="C17" s="308" t="n"/>
      <c r="D17" s="306" t="n"/>
      <c r="E17" s="306" t="n"/>
      <c r="F17" s="306" t="n"/>
      <c r="G17" s="306" t="n"/>
    </row>
    <row r="18">
      <c r="A18" s="301" t="inlineStr">
        <is>
          <t>Проверил ______________________        А.В. Костянецкая</t>
        </is>
      </c>
      <c r="B18" s="308" t="n"/>
      <c r="C18" s="308" t="n"/>
      <c r="D18" s="306" t="n"/>
      <c r="E18" s="306" t="n"/>
      <c r="F18" s="306" t="n"/>
      <c r="G18" s="306" t="n"/>
    </row>
    <row r="19">
      <c r="A19" s="309" t="inlineStr">
        <is>
          <t xml:space="preserve">                        (подпись, инициалы, фамилия)</t>
        </is>
      </c>
      <c r="B19" s="308" t="n"/>
      <c r="C19" s="308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8" min="1" max="1"/>
    <col width="29.6640625" customWidth="1" style="318" min="2" max="2"/>
    <col width="39.109375" customWidth="1" style="318" min="3" max="3"/>
    <col width="48.109375" customWidth="1" style="318" min="4" max="4"/>
    <col width="8.88671875" customWidth="1" style="318" min="5" max="5"/>
  </cols>
  <sheetData>
    <row r="1">
      <c r="B1" s="301" t="n"/>
      <c r="C1" s="301" t="n"/>
      <c r="D1" s="382" t="inlineStr">
        <is>
          <t>Приложение №7</t>
        </is>
      </c>
    </row>
    <row r="2" ht="25.95" customHeight="1" s="318">
      <c r="A2" s="382" t="n"/>
      <c r="B2" s="382" t="n"/>
      <c r="C2" s="382" t="n"/>
      <c r="D2" s="382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5" customHeight="1" s="318">
      <c r="A6" s="343" t="inlineStr">
        <is>
          <t>Единица измерения  — 1 ед</t>
        </is>
      </c>
      <c r="D6" s="343" t="n"/>
    </row>
    <row r="7">
      <c r="A7" s="301" t="n"/>
      <c r="B7" s="301" t="n"/>
      <c r="C7" s="301" t="n"/>
      <c r="D7" s="301" t="n"/>
    </row>
    <row r="8" ht="14.4" customHeight="1" s="31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18">
      <c r="A9" s="436" t="n"/>
      <c r="B9" s="436" t="n"/>
      <c r="C9" s="436" t="n"/>
      <c r="D9" s="436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8">
      <c r="A11" s="366" t="inlineStr">
        <is>
          <t>К1-13-2</t>
        </is>
      </c>
      <c r="B11" s="366" t="inlineStr">
        <is>
          <t>УНЦ КЛ 6-500 кВ (с алюминиевой жилой)</t>
        </is>
      </c>
      <c r="C11" s="303">
        <f>D5</f>
        <v/>
      </c>
      <c r="D11" s="304">
        <f>'Прил.4 РМ'!C41/1000</f>
        <v/>
      </c>
      <c r="E11" s="305" t="n"/>
    </row>
    <row r="12">
      <c r="A12" s="306" t="n"/>
      <c r="B12" s="307" t="n"/>
      <c r="C12" s="306" t="n"/>
      <c r="D12" s="306" t="n"/>
    </row>
    <row r="13">
      <c r="A13" s="301" t="inlineStr">
        <is>
          <t>Составил ______________________      А.Р. Маркова</t>
        </is>
      </c>
      <c r="B13" s="308" t="n"/>
      <c r="C13" s="308" t="n"/>
      <c r="D13" s="306" t="n"/>
    </row>
    <row r="14">
      <c r="A14" s="309" t="inlineStr">
        <is>
          <t xml:space="preserve">                         (подпись, инициалы, фамилия)</t>
        </is>
      </c>
      <c r="B14" s="308" t="n"/>
      <c r="C14" s="308" t="n"/>
      <c r="D14" s="306" t="n"/>
    </row>
    <row r="15">
      <c r="A15" s="301" t="n"/>
      <c r="B15" s="308" t="n"/>
      <c r="C15" s="308" t="n"/>
      <c r="D15" s="306" t="n"/>
    </row>
    <row r="16">
      <c r="A16" s="301" t="inlineStr">
        <is>
          <t>Проверил ______________________        А.В. Костянецкая</t>
        </is>
      </c>
      <c r="B16" s="308" t="n"/>
      <c r="C16" s="308" t="n"/>
      <c r="D16" s="306" t="n"/>
    </row>
    <row r="17">
      <c r="A17" s="309" t="inlineStr">
        <is>
          <t xml:space="preserve">                        (подпись, инициалы, фамилия)</t>
        </is>
      </c>
      <c r="B17" s="308" t="n"/>
      <c r="C17" s="308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D16" sqref="D16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47" t="inlineStr">
        <is>
          <t>Приложение № 10</t>
        </is>
      </c>
    </row>
    <row r="5" ht="18.75" customHeight="1" s="318">
      <c r="B5" s="167" t="n"/>
    </row>
    <row r="6" ht="15.75" customHeight="1" s="318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18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8">
      <c r="B10" s="353" t="n">
        <v>1</v>
      </c>
      <c r="C10" s="353" t="n">
        <v>2</v>
      </c>
      <c r="D10" s="353" t="n">
        <v>3</v>
      </c>
    </row>
    <row r="11" ht="45" customHeight="1" s="318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18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29.25" customHeight="1" s="318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0.75" customHeight="1" s="318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40000000000001" customHeight="1" s="318">
      <c r="B15" s="353" t="inlineStr">
        <is>
          <t>Временные здания и сооружения</t>
        </is>
      </c>
      <c r="C15" s="35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8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18">
      <c r="B17" s="353" t="inlineStr">
        <is>
          <t>Пусконаладочные работы*</t>
        </is>
      </c>
      <c r="C17" s="353" t="n"/>
      <c r="D17" s="170" t="inlineStr">
        <is>
          <t>Расчет</t>
        </is>
      </c>
    </row>
    <row r="18" ht="31.65" customHeight="1" s="318">
      <c r="B18" s="353" t="inlineStr">
        <is>
          <t>Строительный контроль</t>
        </is>
      </c>
      <c r="C18" s="353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8">
      <c r="B19" s="353" t="inlineStr">
        <is>
          <t>Авторский надзор - 0,2%</t>
        </is>
      </c>
      <c r="C19" s="353" t="inlineStr">
        <is>
          <t>Приказ от 4.08.2020 № 421/пр п.173</t>
        </is>
      </c>
      <c r="D19" s="170" t="n">
        <v>0.002</v>
      </c>
    </row>
    <row r="20" ht="24" customHeight="1" s="318">
      <c r="B20" s="353" t="inlineStr">
        <is>
          <t>Непредвиденные расходы</t>
        </is>
      </c>
      <c r="C20" s="353" t="inlineStr">
        <is>
          <t>Приказ от 4.08.2020 № 421/пр п.179</t>
        </is>
      </c>
      <c r="D20" s="170" t="n">
        <v>0.03</v>
      </c>
    </row>
    <row r="21" ht="18.75" customHeight="1" s="318">
      <c r="B21" s="254" t="n"/>
    </row>
    <row r="22" ht="18.75" customHeight="1" s="318">
      <c r="B22" s="254" t="n"/>
    </row>
    <row r="23" ht="18.75" customHeight="1" s="318">
      <c r="B23" s="254" t="n"/>
    </row>
    <row r="24" ht="18.75" customHeight="1" s="318">
      <c r="B24" s="254" t="n"/>
    </row>
    <row r="27">
      <c r="B27" s="301" t="inlineStr">
        <is>
          <t>Составил ______________________        Е.А. Князева</t>
        </is>
      </c>
      <c r="C27" s="308" t="n"/>
    </row>
    <row r="28">
      <c r="B28" s="309" t="inlineStr">
        <is>
          <t xml:space="preserve">                         (подпись, инициалы, фамилия)</t>
        </is>
      </c>
      <c r="C28" s="308" t="n"/>
    </row>
    <row r="29">
      <c r="B29" s="301" t="n"/>
      <c r="C29" s="308" t="n"/>
    </row>
    <row r="30">
      <c r="B30" s="301" t="inlineStr">
        <is>
          <t>Проверил ______________________        А.В. Костянецкая</t>
        </is>
      </c>
      <c r="C30" s="308" t="n"/>
    </row>
    <row r="31">
      <c r="B31" s="309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30" sqref="G30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3" t="n"/>
      <c r="D10" s="353" t="n"/>
      <c r="E10" s="449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0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1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2025-01-24T12:04:07Z</dcterms:modified>
  <cp:lastModifiedBy>user1</cp:lastModifiedBy>
</cp:coreProperties>
</file>