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294" min="1" max="2"/>
    <col width="51.6640625" customWidth="1" style="294" min="3" max="3"/>
    <col width="47" customWidth="1" style="294" min="4" max="4"/>
    <col width="37.44140625" customWidth="1" style="294" min="5" max="5"/>
    <col width="9.109375" customWidth="1" style="294" min="6" max="6"/>
  </cols>
  <sheetData>
    <row r="3">
      <c r="B3" s="324" t="inlineStr">
        <is>
          <t>Приложение № 1</t>
        </is>
      </c>
    </row>
    <row r="4">
      <c r="B4" s="325" t="inlineStr">
        <is>
          <t>Сравнительная таблица отбора объекта-представителя</t>
        </is>
      </c>
    </row>
    <row r="5" ht="84.15000000000001" customHeight="1" s="292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32" t="n"/>
      <c r="C6" s="232" t="n"/>
      <c r="D6" s="232" t="n"/>
    </row>
    <row r="7">
      <c r="B7" s="326" t="inlineStr">
        <is>
          <t>Наименование разрабатываемого показателя УНЦ - КЛ 35 кВ (с алюминиевой жилой) сечение жилы 800 мм2</t>
        </is>
      </c>
    </row>
    <row r="8" ht="15.75" customHeight="1" s="292">
      <c r="B8" s="326" t="inlineStr">
        <is>
          <t>Сопоставимый уровень цен: 3 квартал 2011 года</t>
        </is>
      </c>
    </row>
    <row r="9" ht="15.75" customHeight="1" s="292">
      <c r="B9" s="326" t="inlineStr">
        <is>
          <t>Единица измерения  — 1 км</t>
        </is>
      </c>
    </row>
    <row r="10">
      <c r="B10" s="326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13" t="n"/>
    </row>
    <row r="12" ht="31.5" customHeight="1" s="292">
      <c r="B12" s="341" t="n">
        <v>1</v>
      </c>
      <c r="C12" s="346" t="inlineStr">
        <is>
          <t>Наименование объекта-представителя</t>
        </is>
      </c>
      <c r="D12" s="341" t="inlineStr">
        <is>
          <t>Комплексная реконструкция и техническое перевооружение ПС №20 Чесменская СПб</t>
        </is>
      </c>
    </row>
    <row r="13">
      <c r="B13" s="341" t="n">
        <v>2</v>
      </c>
      <c r="C13" s="346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346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346" t="inlineStr">
        <is>
          <t>Мощность объекта</t>
        </is>
      </c>
      <c r="D15" s="341" t="n">
        <v>1</v>
      </c>
    </row>
    <row r="16" ht="63" customHeight="1" s="292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Кабель алюминиевый 35кВ 1х800</t>
        </is>
      </c>
    </row>
    <row r="17" ht="63" customHeight="1" s="292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SUM(D18:D21)</f>
        <v/>
      </c>
      <c r="E17" s="231" t="n"/>
    </row>
    <row r="18">
      <c r="B18" s="288" t="inlineStr">
        <is>
          <t>6.1</t>
        </is>
      </c>
      <c r="C18" s="346" t="inlineStr">
        <is>
          <t>строительно-монтажные работы</t>
        </is>
      </c>
      <c r="D18" s="289" t="n">
        <v>9116.58</v>
      </c>
    </row>
    <row r="19" ht="15.75" customHeight="1" s="292">
      <c r="B19" s="288" t="inlineStr">
        <is>
          <t>6.2</t>
        </is>
      </c>
      <c r="C19" s="346" t="inlineStr">
        <is>
          <t>оборудование и инвентарь</t>
        </is>
      </c>
      <c r="D19" s="289" t="n">
        <v>0</v>
      </c>
    </row>
    <row r="20" ht="16.5" customHeight="1" s="292">
      <c r="B20" s="288" t="inlineStr">
        <is>
          <t>6.3</t>
        </is>
      </c>
      <c r="C20" s="346" t="inlineStr">
        <is>
          <t>пусконаладочные работы</t>
        </is>
      </c>
      <c r="D20" s="289" t="n">
        <v>0</v>
      </c>
    </row>
    <row r="21">
      <c r="B21" s="288" t="inlineStr">
        <is>
          <t>6.4</t>
        </is>
      </c>
      <c r="C21" s="211" t="inlineStr">
        <is>
          <t>прочие и лимитированные затраты</t>
        </is>
      </c>
      <c r="D21" s="289">
        <f>D18*2.5%+(D18+D18*2.5%)*2.9%</f>
        <v/>
      </c>
    </row>
    <row r="22">
      <c r="B22" s="341" t="n">
        <v>7</v>
      </c>
      <c r="C22" s="211" t="inlineStr">
        <is>
          <t>Сопоставимый уровень цен</t>
        </is>
      </c>
      <c r="D22" s="240" t="inlineStr">
        <is>
          <t xml:space="preserve">3 квартал 2011 года </t>
        </is>
      </c>
      <c r="E22" s="209" t="n"/>
    </row>
    <row r="23" ht="78.75" customHeight="1" s="292">
      <c r="B23" s="34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31" t="n"/>
    </row>
    <row r="24" ht="31.5" customHeight="1" s="292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9">
        <f>D23/D15</f>
        <v/>
      </c>
      <c r="E24" s="209" t="n"/>
    </row>
    <row r="25">
      <c r="B25" s="341" t="n">
        <v>10</v>
      </c>
      <c r="C25" s="346" t="inlineStr">
        <is>
          <t>Примечание</t>
        </is>
      </c>
      <c r="D25" s="341" t="n"/>
    </row>
    <row r="26">
      <c r="B26" s="207" t="n"/>
      <c r="C26" s="206" t="n"/>
      <c r="D26" s="206" t="n"/>
    </row>
    <row r="27" ht="37.5" customHeight="1" s="292">
      <c r="B27" s="205" t="n"/>
    </row>
    <row r="28">
      <c r="B28" s="294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294" min="1" max="1"/>
    <col width="9.109375" customWidth="1" style="294" min="2" max="2"/>
    <col width="35.33203125" customWidth="1" style="294" min="3" max="3"/>
    <col width="13.88671875" customWidth="1" style="294" min="4" max="4"/>
    <col width="24.88671875" customWidth="1" style="294" min="5" max="5"/>
    <col width="15.5546875" customWidth="1" style="294" min="6" max="6"/>
    <col width="14.88671875" customWidth="1" style="294" min="7" max="7"/>
    <col width="16.6640625" customWidth="1" style="294" min="8" max="8"/>
    <col width="13" customWidth="1" style="294" min="9" max="10"/>
    <col width="18" customWidth="1" style="294" min="11" max="11"/>
    <col width="9.109375" customWidth="1" style="294" min="12" max="12"/>
  </cols>
  <sheetData>
    <row r="3">
      <c r="B3" s="324" t="inlineStr">
        <is>
          <t>Приложение № 2</t>
        </is>
      </c>
      <c r="K3" s="205" t="n"/>
    </row>
    <row r="4">
      <c r="B4" s="325" t="inlineStr">
        <is>
          <t>Расчет стоимости основных видов работ для выбора объекта-представителя</t>
        </is>
      </c>
    </row>
    <row r="5">
      <c r="B5" s="340" t="n"/>
      <c r="C5" s="340" t="n"/>
      <c r="D5" s="340" t="n"/>
      <c r="E5" s="340" t="n"/>
      <c r="F5" s="340" t="n"/>
      <c r="G5" s="340" t="n"/>
      <c r="H5" s="340" t="n"/>
      <c r="I5" s="340" t="n"/>
      <c r="J5" s="340" t="n"/>
      <c r="K5" s="340" t="n"/>
    </row>
    <row r="6">
      <c r="B6" s="326">
        <f>'Прил.1 Сравнит табл'!B7:D7</f>
        <v/>
      </c>
    </row>
    <row r="7">
      <c r="B7" s="326">
        <f>'Прил.1 Сравнит табл'!B9:D9</f>
        <v/>
      </c>
    </row>
    <row r="8" ht="18.75" customHeight="1" s="292">
      <c r="B8" s="233" t="n"/>
    </row>
    <row r="9" ht="15.75" customHeight="1" s="292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2">
      <c r="B10" s="420" t="n"/>
      <c r="C10" s="420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3 кв. 2011 г., тыс. руб.</t>
        </is>
      </c>
      <c r="G10" s="418" t="n"/>
      <c r="H10" s="418" t="n"/>
      <c r="I10" s="418" t="n"/>
      <c r="J10" s="419" t="n"/>
    </row>
    <row r="11" ht="31.65" customHeight="1" s="292">
      <c r="B11" s="421" t="n"/>
      <c r="C11" s="421" t="n"/>
      <c r="D11" s="421" t="n"/>
      <c r="E11" s="421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>
      <c r="B12" s="341" t="n">
        <v>1</v>
      </c>
      <c r="C12" s="341" t="inlineStr">
        <is>
          <t>Кабель алюминиевый 35кВ 1х800</t>
        </is>
      </c>
      <c r="D12" s="288" t="inlineStr">
        <is>
          <t>02-17-01</t>
        </is>
      </c>
      <c r="E12" s="341" t="inlineStr">
        <is>
          <t>Заходы КЛ-35 кВ</t>
        </is>
      </c>
      <c r="F12" s="289" t="n"/>
      <c r="G12" s="289">
        <f>9116582.478/1000</f>
        <v/>
      </c>
      <c r="H12" s="289" t="n"/>
      <c r="I12" s="289" t="n"/>
      <c r="J12" s="289">
        <f>SUM(F12:I12)</f>
        <v/>
      </c>
    </row>
    <row r="13" ht="15" customHeight="1" s="292">
      <c r="B13" s="422" t="inlineStr">
        <is>
          <t>Всего по объекту:</t>
        </is>
      </c>
      <c r="C13" s="423" t="n"/>
      <c r="D13" s="423" t="n"/>
      <c r="E13" s="424" t="n"/>
      <c r="F13" s="290" t="n"/>
      <c r="G13" s="290">
        <f>SUM(G12)</f>
        <v/>
      </c>
      <c r="H13" s="290" t="n"/>
      <c r="I13" s="290" t="n"/>
      <c r="J13" s="290">
        <f>SUM(J12)</f>
        <v/>
      </c>
    </row>
    <row r="14" ht="15.75" customHeight="1" s="292">
      <c r="B14" s="425" t="inlineStr">
        <is>
          <t>Всего по объекту в сопоставимом уровне цен 3 кв. 2011 г:</t>
        </is>
      </c>
      <c r="C14" s="418" t="n"/>
      <c r="D14" s="418" t="n"/>
      <c r="E14" s="419" t="n"/>
      <c r="F14" s="291" t="n"/>
      <c r="G14" s="291">
        <f>G13</f>
        <v/>
      </c>
      <c r="H14" s="291" t="n"/>
      <c r="I14" s="291" t="n"/>
      <c r="J14" s="291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67" t="inlineStr">
        <is>
          <t>Составил ______________________     А.Р. Маркова</t>
        </is>
      </c>
      <c r="D18" s="273" t="n"/>
      <c r="E18" s="273" t="n"/>
    </row>
    <row r="19" ht="15" customHeight="1" s="292">
      <c r="C19" s="274" t="inlineStr">
        <is>
          <t xml:space="preserve">                         (подпись, инициалы, фамилия)</t>
        </is>
      </c>
      <c r="D19" s="273" t="n"/>
      <c r="E19" s="273" t="n"/>
    </row>
    <row r="20" ht="15" customHeight="1" s="292">
      <c r="C20" s="267" t="n"/>
      <c r="D20" s="273" t="n"/>
      <c r="E20" s="273" t="n"/>
    </row>
    <row r="21" ht="15" customHeight="1" s="292">
      <c r="C21" s="267" t="inlineStr">
        <is>
          <t>Проверил ______________________        А.В. Костянецкая</t>
        </is>
      </c>
      <c r="D21" s="273" t="n"/>
      <c r="E21" s="273" t="n"/>
    </row>
    <row r="22" ht="15" customHeight="1" s="292">
      <c r="C22" s="274" t="inlineStr">
        <is>
          <t xml:space="preserve">                        (подпись, инициалы, фамилия)</t>
        </is>
      </c>
      <c r="D22" s="273" t="n"/>
      <c r="E22" s="273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zoomScale="85" workbookViewId="0">
      <selection activeCell="D28" sqref="D28"/>
    </sheetView>
  </sheetViews>
  <sheetFormatPr baseColWidth="8" defaultColWidth="9.109375" defaultRowHeight="15.6"/>
  <cols>
    <col width="9.109375" customWidth="1" style="294" min="1" max="1"/>
    <col width="12.5546875" customWidth="1" style="294" min="2" max="2"/>
    <col width="22.44140625" customWidth="1" style="294" min="3" max="3"/>
    <col width="49.6640625" customWidth="1" style="294" min="4" max="4"/>
    <col width="10.109375" customWidth="1" style="294" min="5" max="5"/>
    <col width="20.6640625" customWidth="1" style="294" min="6" max="6"/>
    <col width="20" customWidth="1" style="294" min="7" max="7"/>
    <col width="16.6640625" customWidth="1" style="294" min="8" max="8"/>
    <col width="9.109375" customWidth="1" style="294" min="9" max="10"/>
    <col width="15" customWidth="1" style="294" min="11" max="11"/>
    <col width="9.109375" customWidth="1" style="294" min="12" max="12"/>
  </cols>
  <sheetData>
    <row r="2">
      <c r="A2" s="324" t="inlineStr">
        <is>
          <t xml:space="preserve">Приложение № 3 </t>
        </is>
      </c>
    </row>
    <row r="3">
      <c r="A3" s="325" t="inlineStr">
        <is>
          <t>Объектная ресурсная ведомость</t>
        </is>
      </c>
    </row>
    <row r="4" ht="18.75" customHeight="1" s="292">
      <c r="A4" s="238" t="n"/>
      <c r="B4" s="238" t="n"/>
      <c r="C4" s="342" t="n"/>
    </row>
    <row r="5">
      <c r="A5" s="326" t="n"/>
    </row>
    <row r="6">
      <c r="A6" s="340" t="inlineStr">
        <is>
          <t>Наименование разрабатываемого показателя УНЦ -  КЛ 35 кВ (с алюминиевой жилой) сечение жилы 800 мм2</t>
        </is>
      </c>
    </row>
    <row r="7">
      <c r="A7" s="215" t="n"/>
      <c r="B7" s="215" t="n"/>
      <c r="C7" s="215" t="n"/>
      <c r="D7" s="215" t="n"/>
      <c r="E7" s="215" t="n"/>
      <c r="F7" s="215" t="n"/>
      <c r="G7" s="215" t="n"/>
      <c r="H7" s="215" t="n"/>
    </row>
    <row r="8" ht="38.25" customHeight="1" s="292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19" t="n"/>
    </row>
    <row r="9" ht="40.65" customHeight="1" s="292">
      <c r="A9" s="421" t="n"/>
      <c r="B9" s="421" t="n"/>
      <c r="C9" s="421" t="n"/>
      <c r="D9" s="421" t="n"/>
      <c r="E9" s="421" t="n"/>
      <c r="F9" s="421" t="n"/>
      <c r="G9" s="341" t="inlineStr">
        <is>
          <t>на ед.изм.</t>
        </is>
      </c>
      <c r="H9" s="341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216">
      <c r="A11" s="344" t="inlineStr">
        <is>
          <t>Затраты труда рабочих</t>
        </is>
      </c>
      <c r="B11" s="418" t="n"/>
      <c r="C11" s="418" t="n"/>
      <c r="D11" s="418" t="n"/>
      <c r="E11" s="419" t="n"/>
      <c r="F11" s="426">
        <f>SUM(F12:F12)</f>
        <v/>
      </c>
      <c r="G11" s="236" t="n"/>
      <c r="H11" s="426">
        <f>SUM(H12:H12)</f>
        <v/>
      </c>
    </row>
    <row r="12">
      <c r="A12" s="355" t="n">
        <v>1</v>
      </c>
      <c r="B12" s="281" t="n"/>
      <c r="C12" s="243" t="inlineStr">
        <is>
          <t>1-3-8</t>
        </is>
      </c>
      <c r="D12" s="354" t="inlineStr">
        <is>
          <t>Затраты труда рабочих (средний разряд работы 3,8)</t>
        </is>
      </c>
      <c r="E12" s="355" t="inlineStr">
        <is>
          <t>чел.-ч</t>
        </is>
      </c>
      <c r="F12" s="355" t="n">
        <v>231.2</v>
      </c>
      <c r="G12" s="427" t="n">
        <v>9.4</v>
      </c>
      <c r="H12" s="194">
        <f>ROUND(F12*G12,2)</f>
        <v/>
      </c>
      <c r="M12" s="428" t="n"/>
    </row>
    <row r="13">
      <c r="A13" s="343" t="inlineStr">
        <is>
          <t>Затраты труда машинистов</t>
        </is>
      </c>
      <c r="B13" s="418" t="n"/>
      <c r="C13" s="418" t="n"/>
      <c r="D13" s="418" t="n"/>
      <c r="E13" s="419" t="n"/>
      <c r="F13" s="344" t="n"/>
      <c r="G13" s="284" t="n"/>
      <c r="H13" s="426">
        <f>H14</f>
        <v/>
      </c>
    </row>
    <row r="14">
      <c r="A14" s="355" t="n">
        <v>2</v>
      </c>
      <c r="B14" s="345" t="n"/>
      <c r="C14" s="243" t="n">
        <v>2</v>
      </c>
      <c r="D14" s="354" t="inlineStr">
        <is>
          <t>Затраты труда машинистов</t>
        </is>
      </c>
      <c r="E14" s="355" t="inlineStr">
        <is>
          <t>чел.-ч</t>
        </is>
      </c>
      <c r="F14" s="355" t="n">
        <v>66.40000000000001</v>
      </c>
      <c r="G14" s="194" t="n"/>
      <c r="H14" s="427" t="n">
        <v>896.4</v>
      </c>
    </row>
    <row r="15" customFormat="1" s="216">
      <c r="A15" s="344" t="inlineStr">
        <is>
          <t>Машины и механизмы</t>
        </is>
      </c>
      <c r="B15" s="418" t="n"/>
      <c r="C15" s="418" t="n"/>
      <c r="D15" s="418" t="n"/>
      <c r="E15" s="419" t="n"/>
      <c r="F15" s="344" t="n"/>
      <c r="G15" s="284" t="n"/>
      <c r="H15" s="426">
        <f>SUM(H16:H19)</f>
        <v/>
      </c>
    </row>
    <row r="16" ht="25.5" customHeight="1" s="292">
      <c r="A16" s="355" t="n">
        <v>3</v>
      </c>
      <c r="B16" s="345" t="n"/>
      <c r="C16" s="243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33.2</v>
      </c>
      <c r="G16" s="372" t="n">
        <v>115.4</v>
      </c>
      <c r="H16" s="194">
        <f>ROUND(F16*G16,2)</f>
        <v/>
      </c>
      <c r="I16" s="247" t="n"/>
      <c r="J16" s="247" t="n"/>
      <c r="L16" s="247" t="n"/>
    </row>
    <row r="17" customFormat="1" s="216">
      <c r="A17" s="355" t="n">
        <v>4</v>
      </c>
      <c r="B17" s="345" t="n"/>
      <c r="C17" s="243" t="inlineStr">
        <is>
          <t>91.14.02-003</t>
        </is>
      </c>
      <c r="D17" s="354" t="inlineStr">
        <is>
          <t>Автомобили бортовые, грузоподъемность до 10 т</t>
        </is>
      </c>
      <c r="E17" s="355" t="inlineStr">
        <is>
          <t>маш.час</t>
        </is>
      </c>
      <c r="F17" s="355" t="n">
        <v>33.2</v>
      </c>
      <c r="G17" s="372" t="n">
        <v>80.44</v>
      </c>
      <c r="H17" s="194">
        <f>ROUND(F17*G17,2)</f>
        <v/>
      </c>
      <c r="I17" s="247" t="n"/>
      <c r="J17" s="247" t="n"/>
      <c r="K17" s="248" t="n"/>
      <c r="L17" s="247" t="n"/>
    </row>
    <row r="18" ht="25.5" customHeight="1" s="292">
      <c r="A18" s="355" t="n">
        <v>5</v>
      </c>
      <c r="B18" s="345" t="n"/>
      <c r="C18" s="243" t="inlineStr">
        <is>
          <t>91.06.03-063</t>
        </is>
      </c>
      <c r="D18" s="354" t="inlineStr">
        <is>
          <t>Лебедки электрические тяговым усилием до 49,05 кН (5 т)</t>
        </is>
      </c>
      <c r="E18" s="355" t="inlineStr">
        <is>
          <t>маш.час</t>
        </is>
      </c>
      <c r="F18" s="355" t="n">
        <v>49.8</v>
      </c>
      <c r="G18" s="372" t="n">
        <v>8.199999999999999</v>
      </c>
      <c r="H18" s="194">
        <f>ROUND(F18*G18,2)</f>
        <v/>
      </c>
      <c r="I18" s="247" t="n"/>
      <c r="J18" s="247" t="n"/>
      <c r="L18" s="247" t="n"/>
    </row>
    <row r="19" ht="26.4" customHeight="1" s="292">
      <c r="A19" s="355" t="n">
        <v>6</v>
      </c>
      <c r="B19" s="345" t="n"/>
      <c r="C19" s="243" t="inlineStr">
        <is>
          <t>91.06.01-003</t>
        </is>
      </c>
      <c r="D19" s="354" t="inlineStr">
        <is>
          <t>Домкраты гидравлические, грузоподъемность 63-100 т</t>
        </is>
      </c>
      <c r="E19" s="355" t="inlineStr">
        <is>
          <t>маш.час</t>
        </is>
      </c>
      <c r="F19" s="355" t="n">
        <v>49.8</v>
      </c>
      <c r="G19" s="372" t="n">
        <v>0.9</v>
      </c>
      <c r="H19" s="194">
        <f>ROUND(F19*G19,2)</f>
        <v/>
      </c>
      <c r="I19" s="247" t="n"/>
      <c r="J19" s="247" t="n"/>
      <c r="L19" s="247" t="n"/>
    </row>
    <row r="20">
      <c r="A20" s="344" t="inlineStr">
        <is>
          <t>Материалы</t>
        </is>
      </c>
      <c r="B20" s="418" t="n"/>
      <c r="C20" s="418" t="n"/>
      <c r="D20" s="418" t="n"/>
      <c r="E20" s="419" t="n"/>
      <c r="F20" s="344" t="n"/>
      <c r="G20" s="284" t="n"/>
      <c r="H20" s="426">
        <f>SUM(H21:H26)</f>
        <v/>
      </c>
    </row>
    <row r="21">
      <c r="A21" s="156" t="n">
        <v>7</v>
      </c>
      <c r="B21" s="156" t="n"/>
      <c r="C21" s="355" t="inlineStr">
        <is>
          <t>Прайс из СД ОП</t>
        </is>
      </c>
      <c r="D21" s="220" t="inlineStr">
        <is>
          <t>Кабель алюминиевый 35кВ 1х800</t>
        </is>
      </c>
      <c r="E21" s="355" t="inlineStr">
        <is>
          <t>км</t>
        </is>
      </c>
      <c r="F21" s="355" t="n">
        <v>3.3</v>
      </c>
      <c r="G21" s="220" t="n">
        <v>512157.9</v>
      </c>
      <c r="H21" s="194">
        <f>ROUND(F21*G21,2)</f>
        <v/>
      </c>
    </row>
    <row r="22" ht="25.5" customHeight="1" s="292">
      <c r="A22" s="286" t="n">
        <v>8</v>
      </c>
      <c r="B22" s="345" t="n"/>
      <c r="C22" s="243" t="inlineStr">
        <is>
          <t>08.3.08.02-0052</t>
        </is>
      </c>
      <c r="D22" s="354" t="inlineStr">
        <is>
          <t>Уголок горячекатаный, марка стали ВСт3кп2, размер 50х50х5 мм</t>
        </is>
      </c>
      <c r="E22" s="355" t="inlineStr">
        <is>
          <t>т</t>
        </is>
      </c>
      <c r="F22" s="355" t="n">
        <v>0.1</v>
      </c>
      <c r="G22" s="194" t="n">
        <v>5763</v>
      </c>
      <c r="H22" s="194">
        <f>ROUND(F22*G22,2)</f>
        <v/>
      </c>
      <c r="I22" s="234" t="n"/>
      <c r="J22" s="247" t="n"/>
      <c r="K22" s="247" t="n"/>
    </row>
    <row r="23">
      <c r="A23" s="156" t="n">
        <v>9</v>
      </c>
      <c r="B23" s="345" t="n"/>
      <c r="C23" s="243" t="inlineStr">
        <is>
          <t>14.4.02.09-0001</t>
        </is>
      </c>
      <c r="D23" s="354" t="inlineStr">
        <is>
          <t>Краска</t>
        </is>
      </c>
      <c r="E23" s="355" t="inlineStr">
        <is>
          <t>кг</t>
        </is>
      </c>
      <c r="F23" s="355" t="n">
        <v>2.5</v>
      </c>
      <c r="G23" s="194" t="n">
        <v>28.6</v>
      </c>
      <c r="H23" s="194">
        <f>ROUND(F23*G23,2)</f>
        <v/>
      </c>
      <c r="I23" s="234" t="n"/>
      <c r="J23" s="247" t="n"/>
      <c r="K23" s="247" t="n"/>
    </row>
    <row r="24" ht="25.5" customHeight="1" s="292">
      <c r="A24" s="286" t="n">
        <v>10</v>
      </c>
      <c r="B24" s="345" t="n"/>
      <c r="C24" s="243" t="inlineStr">
        <is>
          <t>08.3.07.01-0076</t>
        </is>
      </c>
      <c r="D24" s="354" t="inlineStr">
        <is>
          <t>Прокат полосовой, горячекатаный, марка стали Ст3сп, ширина 50-200 мм, толщина 4-5 мм</t>
        </is>
      </c>
      <c r="E24" s="355" t="inlineStr">
        <is>
          <t>т</t>
        </is>
      </c>
      <c r="F24" s="355" t="n">
        <v>0.01</v>
      </c>
      <c r="G24" s="194" t="n">
        <v>5000</v>
      </c>
      <c r="H24" s="194">
        <f>ROUND(F24*G24,2)</f>
        <v/>
      </c>
      <c r="I24" s="234" t="n"/>
      <c r="J24" s="247" t="n"/>
      <c r="K24" s="247" t="n"/>
    </row>
    <row r="25">
      <c r="A25" s="156" t="n">
        <v>11</v>
      </c>
      <c r="B25" s="345" t="n"/>
      <c r="C25" s="243" t="inlineStr">
        <is>
          <t>01.7.06.07-0002</t>
        </is>
      </c>
      <c r="D25" s="354" t="inlineStr">
        <is>
          <t>Лента монтажная, тип ЛМ-5</t>
        </is>
      </c>
      <c r="E25" s="355" t="inlineStr">
        <is>
          <t>10 м</t>
        </is>
      </c>
      <c r="F25" s="355" t="n">
        <v>0.96</v>
      </c>
      <c r="G25" s="194" t="n">
        <v>6.9</v>
      </c>
      <c r="H25" s="194">
        <f>ROUND(F25*G25,2)</f>
        <v/>
      </c>
      <c r="I25" s="234" t="n"/>
      <c r="J25" s="247" t="n"/>
      <c r="K25" s="247" t="n"/>
    </row>
    <row r="26">
      <c r="A26" s="286" t="n">
        <v>12</v>
      </c>
      <c r="B26" s="345" t="n"/>
      <c r="C26" s="243" t="inlineStr">
        <is>
          <t>14.4.03.03-0002</t>
        </is>
      </c>
      <c r="D26" s="354" t="inlineStr">
        <is>
          <t>Лак битумный БТ-123</t>
        </is>
      </c>
      <c r="E26" s="355" t="inlineStr">
        <is>
          <t>т</t>
        </is>
      </c>
      <c r="F26" s="355" t="n">
        <v>0.0005999999999999999</v>
      </c>
      <c r="G26" s="194" t="n">
        <v>7826.9</v>
      </c>
      <c r="H26" s="194">
        <f>ROUND(F26*G26,2)</f>
        <v/>
      </c>
      <c r="I26" s="234" t="n"/>
      <c r="J26" s="247" t="n"/>
      <c r="K26" s="247" t="n"/>
    </row>
    <row r="28">
      <c r="B28" s="294" t="inlineStr">
        <is>
          <t>Составил ______________________ 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292" min="1" max="1"/>
    <col width="36.33203125" customWidth="1" style="292" min="2" max="2"/>
    <col width="18.88671875" customWidth="1" style="292" min="3" max="3"/>
    <col width="18.33203125" customWidth="1" style="292" min="4" max="4"/>
    <col width="18.88671875" customWidth="1" style="292" min="5" max="5"/>
    <col width="11.44140625" customWidth="1" style="292" min="6" max="6"/>
    <col width="14.44140625" customWidth="1" style="292" min="7" max="7"/>
    <col width="9.109375" customWidth="1" style="292" min="8" max="11"/>
    <col width="13.5546875" customWidth="1" style="292" min="12" max="12"/>
    <col width="9.109375" customWidth="1" style="292" min="13" max="13"/>
  </cols>
  <sheetData>
    <row r="1">
      <c r="B1" s="267" t="n"/>
      <c r="C1" s="267" t="n"/>
      <c r="D1" s="267" t="n"/>
      <c r="E1" s="267" t="n"/>
    </row>
    <row r="2">
      <c r="B2" s="267" t="n"/>
      <c r="C2" s="267" t="n"/>
      <c r="D2" s="267" t="n"/>
      <c r="E2" s="367" t="inlineStr">
        <is>
          <t>Приложение № 4</t>
        </is>
      </c>
    </row>
    <row r="3">
      <c r="B3" s="267" t="n"/>
      <c r="C3" s="267" t="n"/>
      <c r="D3" s="267" t="n"/>
      <c r="E3" s="267" t="n"/>
    </row>
    <row r="4">
      <c r="B4" s="267" t="n"/>
      <c r="C4" s="267" t="n"/>
      <c r="D4" s="267" t="n"/>
      <c r="E4" s="267" t="n"/>
    </row>
    <row r="5">
      <c r="B5" s="314" t="inlineStr">
        <is>
          <t>Ресурсная модель</t>
        </is>
      </c>
    </row>
    <row r="6">
      <c r="B6" s="228" t="n"/>
      <c r="C6" s="267" t="n"/>
      <c r="D6" s="267" t="n"/>
      <c r="E6" s="267" t="n"/>
    </row>
    <row r="7" ht="25.5" customHeight="1" s="292">
      <c r="B7" s="323" t="inlineStr">
        <is>
          <t>Наименование разрабатываемого показателя УНЦ — КЛ 35 кВ (с алюминиевой жилой) сечение жилы 800 мм2</t>
        </is>
      </c>
    </row>
    <row r="8">
      <c r="B8" s="347" t="inlineStr">
        <is>
          <t>Единица измерения  — 1 км</t>
        </is>
      </c>
    </row>
    <row r="9">
      <c r="B9" s="228" t="n"/>
      <c r="C9" s="267" t="n"/>
      <c r="D9" s="267" t="n"/>
      <c r="E9" s="267" t="n"/>
    </row>
    <row r="10" ht="51" customHeight="1" s="292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ОБ'!J15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ОБ'!J22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ОБ'!J25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ОБ'!J17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ОБ'!J36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ОБ'!J42</f>
        <v/>
      </c>
      <c r="D17" s="222">
        <f>C17/$C$24</f>
        <v/>
      </c>
      <c r="E17" s="222">
        <f>C17/$C$40</f>
        <v/>
      </c>
      <c r="G17" s="429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ОБ'!D46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ОБ'!D45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2">
      <c r="B25" s="220" t="inlineStr">
        <is>
          <t>ВСЕГО стоимость оборудования, в том числе</t>
        </is>
      </c>
      <c r="C25" s="221">
        <f>'Прил.5 Расчет СМР и ОБ'!J31</f>
        <v/>
      </c>
      <c r="D25" s="222" t="n"/>
      <c r="E25" s="222">
        <f>C25/$C$40</f>
        <v/>
      </c>
    </row>
    <row r="26" ht="25.5" customHeight="1" s="292">
      <c r="B26" s="220" t="inlineStr">
        <is>
          <t>стоимость оборудования технологического</t>
        </is>
      </c>
      <c r="C26" s="221">
        <f>'Прил.5 Расчет СМР и ОБ'!J32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2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2">
      <c r="B29" s="220" t="inlineStr">
        <is>
          <t>Временные здания и сооружения - 3,9%</t>
        </is>
      </c>
      <c r="C29" s="224">
        <f>ROUND(C24*3.9%,2)</f>
        <v/>
      </c>
      <c r="D29" s="220" t="n"/>
      <c r="E29" s="222">
        <f>C29/$C$40</f>
        <v/>
      </c>
    </row>
    <row r="30" ht="38.25" customHeight="1" s="292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2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2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2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4" t="n"/>
    </row>
    <row r="35" ht="76.65000000000001" customHeight="1" s="292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2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78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279" t="n"/>
      <c r="L37" s="223" t="n"/>
    </row>
    <row r="38" ht="38.25" customHeight="1" s="292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65" customHeight="1" s="292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ОБ'!E49</f>
        <v/>
      </c>
      <c r="D41" s="220" t="n"/>
      <c r="E41" s="220" t="n"/>
    </row>
    <row r="42">
      <c r="B42" s="270" t="n"/>
      <c r="C42" s="267" t="n"/>
      <c r="D42" s="267" t="n"/>
      <c r="E42" s="267" t="n"/>
    </row>
    <row r="43">
      <c r="B43" s="270" t="inlineStr">
        <is>
          <t>Составил ____________________________ А.Р. Маркова</t>
        </is>
      </c>
      <c r="C43" s="267" t="n"/>
      <c r="D43" s="267" t="n"/>
      <c r="E43" s="267" t="n"/>
    </row>
    <row r="44">
      <c r="B44" s="270" t="inlineStr">
        <is>
          <t xml:space="preserve">(должность, подпись, инициалы, фамилия) </t>
        </is>
      </c>
      <c r="C44" s="267" t="n"/>
      <c r="D44" s="267" t="n"/>
      <c r="E44" s="267" t="n"/>
    </row>
    <row r="45">
      <c r="B45" s="270" t="n"/>
      <c r="C45" s="267" t="n"/>
      <c r="D45" s="267" t="n"/>
      <c r="E45" s="267" t="n"/>
    </row>
    <row r="46">
      <c r="B46" s="270" t="inlineStr">
        <is>
          <t>Проверил ____________________________ А.В. Костянецкая</t>
        </is>
      </c>
      <c r="C46" s="267" t="n"/>
      <c r="D46" s="267" t="n"/>
      <c r="E46" s="267" t="n"/>
    </row>
    <row r="47">
      <c r="B47" s="347" t="inlineStr">
        <is>
          <t>(должность, подпись, инициалы, фамилия)</t>
        </is>
      </c>
      <c r="D47" s="267" t="n"/>
      <c r="E47" s="267" t="n"/>
    </row>
    <row r="49">
      <c r="B49" s="267" t="n"/>
      <c r="C49" s="267" t="n"/>
      <c r="D49" s="267" t="n"/>
      <c r="E49" s="267" t="n"/>
    </row>
    <row r="50">
      <c r="B50" s="267" t="n"/>
      <c r="C50" s="267" t="n"/>
      <c r="D50" s="267" t="n"/>
      <c r="E50" s="26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19" zoomScale="85" workbookViewId="0">
      <selection activeCell="F50" sqref="F50"/>
    </sheetView>
  </sheetViews>
  <sheetFormatPr baseColWidth="8" defaultColWidth="9.109375" defaultRowHeight="14.4" outlineLevelRow="1"/>
  <cols>
    <col width="5.6640625" customWidth="1" style="273" min="1" max="1"/>
    <col width="22.5546875" customWidth="1" style="273" min="2" max="2"/>
    <col width="39.109375" customWidth="1" style="273" min="3" max="3"/>
    <col width="10.6640625" customWidth="1" style="273" min="4" max="4"/>
    <col width="12.6640625" customWidth="1" style="273" min="5" max="5"/>
    <col width="15" customWidth="1" style="273" min="6" max="6"/>
    <col width="13.44140625" customWidth="1" style="273" min="7" max="7"/>
    <col width="12.6640625" customWidth="1" style="273" min="8" max="8"/>
    <col width="13.88671875" customWidth="1" style="273" min="9" max="9"/>
    <col width="17.5546875" customWidth="1" style="273" min="10" max="10"/>
    <col width="10.88671875" customWidth="1" style="273" min="11" max="11"/>
    <col width="9.109375" customWidth="1" style="273" min="12" max="12"/>
    <col width="9.109375" customWidth="1" style="292" min="13" max="13"/>
  </cols>
  <sheetData>
    <row r="1" s="292">
      <c r="A1" s="273" t="n"/>
      <c r="B1" s="273" t="n"/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3" t="n"/>
    </row>
    <row r="2" ht="15.75" customHeight="1" s="292">
      <c r="A2" s="273" t="n"/>
      <c r="B2" s="273" t="n"/>
      <c r="C2" s="273" t="n"/>
      <c r="D2" s="273" t="n"/>
      <c r="E2" s="273" t="n"/>
      <c r="F2" s="273" t="n"/>
      <c r="G2" s="273" t="n"/>
      <c r="H2" s="363" t="inlineStr">
        <is>
          <t>Приложение №5</t>
        </is>
      </c>
      <c r="K2" s="273" t="n"/>
      <c r="L2" s="273" t="n"/>
      <c r="M2" s="273" t="n"/>
      <c r="N2" s="273" t="n"/>
    </row>
    <row r="3" s="292">
      <c r="A3" s="273" t="n"/>
      <c r="B3" s="273" t="n"/>
      <c r="C3" s="273" t="n"/>
      <c r="D3" s="273" t="n"/>
      <c r="E3" s="273" t="n"/>
      <c r="F3" s="273" t="n"/>
      <c r="G3" s="273" t="n"/>
      <c r="H3" s="273" t="n"/>
      <c r="I3" s="273" t="n"/>
      <c r="J3" s="273" t="n"/>
      <c r="K3" s="273" t="n"/>
      <c r="L3" s="273" t="n"/>
      <c r="M3" s="273" t="n"/>
      <c r="N3" s="273" t="n"/>
    </row>
    <row r="4" ht="12.75" customFormat="1" customHeight="1" s="267">
      <c r="A4" s="314" t="inlineStr">
        <is>
          <t>Расчет стоимости СМР и оборудования</t>
        </is>
      </c>
    </row>
    <row r="5" ht="12.75" customFormat="1" customHeight="1" s="267">
      <c r="A5" s="314" t="n"/>
      <c r="B5" s="314" t="n"/>
      <c r="C5" s="375" t="n"/>
      <c r="D5" s="314" t="n"/>
      <c r="E5" s="314" t="n"/>
      <c r="F5" s="314" t="n"/>
      <c r="G5" s="314" t="n"/>
      <c r="H5" s="314" t="n"/>
      <c r="I5" s="314" t="n"/>
      <c r="J5" s="314" t="n"/>
    </row>
    <row r="6" ht="12.75" customFormat="1" customHeight="1" s="267">
      <c r="A6" s="198" t="inlineStr">
        <is>
          <t>Наименование разрабатываемого показателя УНЦ</t>
        </is>
      </c>
      <c r="B6" s="197" t="n"/>
      <c r="C6" s="197" t="n"/>
      <c r="D6" s="317" t="inlineStr">
        <is>
          <t>КЛ 35 кВ (с алюминиевой жилой) сечение жилы 800 мм2</t>
        </is>
      </c>
    </row>
    <row r="7" ht="12.75" customFormat="1" customHeight="1" s="267">
      <c r="A7" s="317" t="inlineStr">
        <is>
          <t>Единица измерения  — 1 км</t>
        </is>
      </c>
      <c r="I7" s="323" t="n"/>
      <c r="J7" s="323" t="n"/>
    </row>
    <row r="8" ht="13.65" customFormat="1" customHeight="1" s="267">
      <c r="A8" s="317" t="n"/>
    </row>
    <row r="9" ht="13.2" customFormat="1" customHeight="1" s="267"/>
    <row r="10" ht="27" customHeight="1" s="292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19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19" t="n"/>
      <c r="K10" s="273" t="n"/>
      <c r="L10" s="273" t="n"/>
      <c r="M10" s="273" t="n"/>
      <c r="N10" s="273" t="n"/>
    </row>
    <row r="11" ht="28.5" customHeight="1" s="292">
      <c r="A11" s="421" t="n"/>
      <c r="B11" s="421" t="n"/>
      <c r="C11" s="421" t="n"/>
      <c r="D11" s="421" t="n"/>
      <c r="E11" s="421" t="n"/>
      <c r="F11" s="355" t="inlineStr">
        <is>
          <t>на ед. изм.</t>
        </is>
      </c>
      <c r="G11" s="355" t="inlineStr">
        <is>
          <t>общая</t>
        </is>
      </c>
      <c r="H11" s="421" t="n"/>
      <c r="I11" s="355" t="inlineStr">
        <is>
          <t>на ед. изм.</t>
        </is>
      </c>
      <c r="J11" s="355" t="inlineStr">
        <is>
          <t>общая</t>
        </is>
      </c>
      <c r="K11" s="273" t="n"/>
      <c r="L11" s="273" t="n"/>
      <c r="M11" s="273" t="n"/>
      <c r="N11" s="273" t="n"/>
    </row>
    <row r="12" s="292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49" t="n">
        <v>9</v>
      </c>
      <c r="J12" s="349" t="n">
        <v>10</v>
      </c>
      <c r="K12" s="273" t="n"/>
      <c r="L12" s="273" t="n"/>
      <c r="M12" s="273" t="n"/>
      <c r="N12" s="273" t="n"/>
    </row>
    <row r="13">
      <c r="A13" s="355" t="n"/>
      <c r="B13" s="353" t="inlineStr">
        <is>
          <t>Затраты труда рабочих-строителей</t>
        </is>
      </c>
      <c r="C13" s="418" t="n"/>
      <c r="D13" s="418" t="n"/>
      <c r="E13" s="418" t="n"/>
      <c r="F13" s="418" t="n"/>
      <c r="G13" s="418" t="n"/>
      <c r="H13" s="419" t="n"/>
      <c r="I13" s="276" t="n"/>
      <c r="J13" s="276" t="n"/>
    </row>
    <row r="14" ht="25.5" customHeight="1" s="292">
      <c r="A14" s="355" t="n">
        <v>1</v>
      </c>
      <c r="B14" s="243" t="inlineStr">
        <is>
          <t>1-3-8</t>
        </is>
      </c>
      <c r="C14" s="354" t="inlineStr">
        <is>
          <t>Затраты труда рабочих-строителей среднего разряда (3,8)</t>
        </is>
      </c>
      <c r="D14" s="355" t="inlineStr">
        <is>
          <t>чел.-ч.</t>
        </is>
      </c>
      <c r="E14" s="430">
        <f>G14/F14</f>
        <v/>
      </c>
      <c r="F14" s="194" t="n">
        <v>9.4</v>
      </c>
      <c r="G14" s="194">
        <f>'Прил. 3'!H11</f>
        <v/>
      </c>
      <c r="H14" s="196">
        <f>G14/G15</f>
        <v/>
      </c>
      <c r="I14" s="194">
        <f>ФОТр.тек.!E13</f>
        <v/>
      </c>
      <c r="J14" s="194">
        <f>ROUND(I14*E14,2)</f>
        <v/>
      </c>
    </row>
    <row r="15" ht="25.5" customFormat="1" customHeight="1" s="273">
      <c r="A15" s="355" t="n"/>
      <c r="B15" s="355" t="n"/>
      <c r="C15" s="353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30">
        <f>SUM(E14:E14)</f>
        <v/>
      </c>
      <c r="F15" s="194" t="n"/>
      <c r="G15" s="194">
        <f>SUM(G14:G14)</f>
        <v/>
      </c>
      <c r="H15" s="358" t="n">
        <v>1</v>
      </c>
      <c r="I15" s="276" t="n"/>
      <c r="J15" s="194">
        <f>SUM(J14:J14)</f>
        <v/>
      </c>
    </row>
    <row r="16" ht="14.25" customFormat="1" customHeight="1" s="273">
      <c r="A16" s="355" t="n"/>
      <c r="B16" s="354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76" t="n"/>
      <c r="J16" s="276" t="n"/>
    </row>
    <row r="17" ht="14.25" customFormat="1" customHeight="1" s="273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30" t="n">
        <v>66.40000000000001</v>
      </c>
      <c r="F17" s="194">
        <f>G17/E17</f>
        <v/>
      </c>
      <c r="G17" s="194">
        <f>'Прил. 3'!H13</f>
        <v/>
      </c>
      <c r="H17" s="358" t="n">
        <v>1</v>
      </c>
      <c r="I17" s="194">
        <f>ROUND(F17*'Прил. 10'!D11,2)</f>
        <v/>
      </c>
      <c r="J17" s="194">
        <f>ROUND(I17*E17,2)</f>
        <v/>
      </c>
    </row>
    <row r="18" ht="14.25" customFormat="1" customHeight="1" s="273">
      <c r="A18" s="355" t="n"/>
      <c r="B18" s="353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276" t="n"/>
      <c r="J18" s="276" t="n"/>
    </row>
    <row r="19" ht="14.25" customFormat="1" customHeight="1" s="273">
      <c r="A19" s="355" t="n"/>
      <c r="B19" s="354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76" t="n"/>
      <c r="J19" s="276" t="n"/>
    </row>
    <row r="20" ht="25.5" customFormat="1" customHeight="1" s="273">
      <c r="A20" s="355" t="n">
        <v>3</v>
      </c>
      <c r="B20" s="243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31" t="n">
        <v>33.2</v>
      </c>
      <c r="F20" s="372" t="n">
        <v>115.4</v>
      </c>
      <c r="G20" s="194">
        <f>ROUND(E20*F20,2)</f>
        <v/>
      </c>
      <c r="H20" s="196">
        <f>G20/$G$26</f>
        <v/>
      </c>
      <c r="I20" s="194">
        <f>ROUND(F20*'Прил. 10'!$D$12,2)</f>
        <v/>
      </c>
      <c r="J20" s="194">
        <f>ROUND(I20*E20,2)</f>
        <v/>
      </c>
    </row>
    <row r="21" ht="25.5" customFormat="1" customHeight="1" s="273">
      <c r="A21" s="355" t="n">
        <v>4</v>
      </c>
      <c r="B21" s="243" t="inlineStr">
        <is>
          <t>91.14.02-003</t>
        </is>
      </c>
      <c r="C21" s="354" t="inlineStr">
        <is>
          <t>Автомобили бортовые, грузоподъемность до 10 т</t>
        </is>
      </c>
      <c r="D21" s="355" t="inlineStr">
        <is>
          <t>маш.час</t>
        </is>
      </c>
      <c r="E21" s="431" t="n">
        <v>33.2</v>
      </c>
      <c r="F21" s="372" t="n">
        <v>80.44</v>
      </c>
      <c r="G21" s="194">
        <f>ROUND(E21*F21,2)</f>
        <v/>
      </c>
      <c r="H21" s="196">
        <f>G21/$G$26</f>
        <v/>
      </c>
      <c r="I21" s="194">
        <f>ROUND(F21*'Прил. 10'!$D$12,2)</f>
        <v/>
      </c>
      <c r="J21" s="194">
        <f>ROUND(I21*E21,2)</f>
        <v/>
      </c>
    </row>
    <row r="22" ht="14.25" customFormat="1" customHeight="1" s="273">
      <c r="A22" s="355" t="n"/>
      <c r="B22" s="355" t="n"/>
      <c r="C22" s="354" t="inlineStr">
        <is>
          <t>Итого основные машины и механизмы</t>
        </is>
      </c>
      <c r="D22" s="355" t="n"/>
      <c r="E22" s="430" t="n"/>
      <c r="F22" s="194" t="n"/>
      <c r="G22" s="194">
        <f>SUM(G20:G21)</f>
        <v/>
      </c>
      <c r="H22" s="358">
        <f>G22/G26</f>
        <v/>
      </c>
      <c r="I22" s="191" t="n"/>
      <c r="J22" s="194">
        <f>SUM(J20:J21)</f>
        <v/>
      </c>
    </row>
    <row r="23" outlineLevel="1" ht="25.5" customFormat="1" customHeight="1" s="273">
      <c r="A23" s="355" t="n">
        <v>5</v>
      </c>
      <c r="B23" s="243" t="inlineStr">
        <is>
          <t>91.06.03-063</t>
        </is>
      </c>
      <c r="C23" s="354" t="inlineStr">
        <is>
          <t>Лебедки электрические тяговым усилием до 49,05 кН (5 т)</t>
        </is>
      </c>
      <c r="D23" s="355" t="inlineStr">
        <is>
          <t>маш.час</t>
        </is>
      </c>
      <c r="E23" s="431" t="n">
        <v>49.8</v>
      </c>
      <c r="F23" s="372" t="n">
        <v>8.199999999999999</v>
      </c>
      <c r="G23" s="194">
        <f>ROUND(E23*F23,2)</f>
        <v/>
      </c>
      <c r="H23" s="196">
        <f>G23/$G$26</f>
        <v/>
      </c>
      <c r="I23" s="194">
        <f>ROUND(F23*'Прил. 10'!$D$12,2)</f>
        <v/>
      </c>
      <c r="J23" s="194">
        <f>ROUND(I23*E23,2)</f>
        <v/>
      </c>
    </row>
    <row r="24" outlineLevel="1" ht="25.5" customFormat="1" customHeight="1" s="273">
      <c r="A24" s="355" t="n">
        <v>6</v>
      </c>
      <c r="B24" s="243" t="inlineStr">
        <is>
          <t>91.06.01-003</t>
        </is>
      </c>
      <c r="C24" s="354" t="inlineStr">
        <is>
          <t>Домкраты гидравлические, грузоподъемность 63-100 т</t>
        </is>
      </c>
      <c r="D24" s="355" t="inlineStr">
        <is>
          <t>маш.час</t>
        </is>
      </c>
      <c r="E24" s="431" t="n">
        <v>49.8</v>
      </c>
      <c r="F24" s="372" t="n">
        <v>0.9</v>
      </c>
      <c r="G24" s="194">
        <f>ROUND(E24*F24,2)</f>
        <v/>
      </c>
      <c r="H24" s="196">
        <f>G24/$G$26</f>
        <v/>
      </c>
      <c r="I24" s="194">
        <f>ROUND(F24*'Прил. 10'!$D$12,2)</f>
        <v/>
      </c>
      <c r="J24" s="194">
        <f>ROUND(I24*E24,2)</f>
        <v/>
      </c>
    </row>
    <row r="25" ht="14.25" customFormat="1" customHeight="1" s="273">
      <c r="A25" s="355" t="n"/>
      <c r="B25" s="355" t="n"/>
      <c r="C25" s="354" t="inlineStr">
        <is>
          <t>Итого прочие машины и механизмы</t>
        </is>
      </c>
      <c r="D25" s="355" t="n"/>
      <c r="E25" s="356" t="n"/>
      <c r="F25" s="194" t="n"/>
      <c r="G25" s="191">
        <f>SUM(G23:G24)</f>
        <v/>
      </c>
      <c r="H25" s="196">
        <f>G25/G26</f>
        <v/>
      </c>
      <c r="I25" s="194" t="n"/>
      <c r="J25" s="194">
        <f>SUM(J23:J24)</f>
        <v/>
      </c>
    </row>
    <row r="26" ht="25.5" customFormat="1" customHeight="1" s="273">
      <c r="A26" s="355" t="n"/>
      <c r="B26" s="355" t="n"/>
      <c r="C26" s="353" t="inlineStr">
        <is>
          <t>Итого по разделу «Машины и механизмы»</t>
        </is>
      </c>
      <c r="D26" s="355" t="n"/>
      <c r="E26" s="356" t="n"/>
      <c r="F26" s="194" t="n"/>
      <c r="G26" s="194">
        <f>G25+G22</f>
        <v/>
      </c>
      <c r="H26" s="188" t="n">
        <v>1</v>
      </c>
      <c r="I26" s="189" t="n"/>
      <c r="J26" s="202">
        <f>J25+J22</f>
        <v/>
      </c>
    </row>
    <row r="27" ht="14.25" customFormat="1" customHeight="1" s="273">
      <c r="A27" s="355" t="n"/>
      <c r="B27" s="353" t="inlineStr">
        <is>
          <t>Оборудование</t>
        </is>
      </c>
      <c r="C27" s="418" t="n"/>
      <c r="D27" s="418" t="n"/>
      <c r="E27" s="418" t="n"/>
      <c r="F27" s="418" t="n"/>
      <c r="G27" s="418" t="n"/>
      <c r="H27" s="419" t="n"/>
      <c r="I27" s="276" t="n"/>
      <c r="J27" s="276" t="n"/>
    </row>
    <row r="28">
      <c r="A28" s="355" t="n"/>
      <c r="B28" s="354" t="inlineStr">
        <is>
          <t>Основное оборудование</t>
        </is>
      </c>
      <c r="C28" s="418" t="n"/>
      <c r="D28" s="418" t="n"/>
      <c r="E28" s="418" t="n"/>
      <c r="F28" s="418" t="n"/>
      <c r="G28" s="418" t="n"/>
      <c r="H28" s="419" t="n"/>
      <c r="I28" s="276" t="n"/>
      <c r="J28" s="276" t="n"/>
      <c r="K28" s="273" t="n"/>
      <c r="L28" s="273" t="n"/>
    </row>
    <row r="29">
      <c r="A29" s="355" t="n"/>
      <c r="B29" s="355" t="n"/>
      <c r="C29" s="354" t="inlineStr">
        <is>
          <t>Итого основное оборудование</t>
        </is>
      </c>
      <c r="D29" s="355" t="n"/>
      <c r="E29" s="431" t="n"/>
      <c r="F29" s="357" t="n"/>
      <c r="G29" s="194" t="n">
        <v>0</v>
      </c>
      <c r="H29" s="196" t="n">
        <v>0</v>
      </c>
      <c r="I29" s="191" t="n"/>
      <c r="J29" s="194" t="n">
        <v>0</v>
      </c>
      <c r="K29" s="273" t="n"/>
      <c r="L29" s="273" t="n"/>
    </row>
    <row r="30">
      <c r="A30" s="355" t="n"/>
      <c r="B30" s="355" t="n"/>
      <c r="C30" s="354" t="inlineStr">
        <is>
          <t>Итого прочее оборудование</t>
        </is>
      </c>
      <c r="D30" s="355" t="n"/>
      <c r="E30" s="430" t="n"/>
      <c r="F30" s="357" t="n"/>
      <c r="G30" s="194" t="n">
        <v>0</v>
      </c>
      <c r="H30" s="196" t="n">
        <v>0</v>
      </c>
      <c r="I30" s="191" t="n"/>
      <c r="J30" s="194" t="n">
        <v>0</v>
      </c>
      <c r="K30" s="273" t="n"/>
      <c r="L30" s="273" t="n"/>
    </row>
    <row r="31">
      <c r="A31" s="355" t="n"/>
      <c r="B31" s="355" t="n"/>
      <c r="C31" s="353" t="inlineStr">
        <is>
          <t>Итого по разделу «Оборудование»</t>
        </is>
      </c>
      <c r="D31" s="355" t="n"/>
      <c r="E31" s="356" t="n"/>
      <c r="F31" s="357" t="n"/>
      <c r="G31" s="194">
        <f>G29+G30</f>
        <v/>
      </c>
      <c r="H31" s="196" t="n">
        <v>0</v>
      </c>
      <c r="I31" s="191" t="n"/>
      <c r="J31" s="194">
        <f>J30+J29</f>
        <v/>
      </c>
      <c r="K31" s="273" t="n"/>
      <c r="L31" s="273" t="n"/>
    </row>
    <row r="32" ht="25.5" customHeight="1" s="292">
      <c r="A32" s="355" t="n"/>
      <c r="B32" s="355" t="n"/>
      <c r="C32" s="354" t="inlineStr">
        <is>
          <t>в том числе технологическое оборудование</t>
        </is>
      </c>
      <c r="D32" s="355" t="n"/>
      <c r="E32" s="431" t="n"/>
      <c r="F32" s="357" t="n"/>
      <c r="G32" s="194">
        <f>'Прил.6 Расчет ОБ'!G12</f>
        <v/>
      </c>
      <c r="H32" s="358" t="n"/>
      <c r="I32" s="191" t="n"/>
      <c r="J32" s="194">
        <f>J31</f>
        <v/>
      </c>
      <c r="K32" s="273" t="n"/>
      <c r="L32" s="273" t="n"/>
    </row>
    <row r="33" ht="14.25" customFormat="1" customHeight="1" s="273">
      <c r="A33" s="355" t="n"/>
      <c r="B33" s="353" t="inlineStr">
        <is>
          <t>Материалы</t>
        </is>
      </c>
      <c r="C33" s="418" t="n"/>
      <c r="D33" s="418" t="n"/>
      <c r="E33" s="418" t="n"/>
      <c r="F33" s="418" t="n"/>
      <c r="G33" s="418" t="n"/>
      <c r="H33" s="419" t="n"/>
      <c r="I33" s="276" t="n"/>
      <c r="J33" s="276" t="n"/>
    </row>
    <row r="34" ht="14.25" customFormat="1" customHeight="1" s="273">
      <c r="A34" s="349" t="n"/>
      <c r="B34" s="348" t="inlineStr">
        <is>
          <t>Основные материалы</t>
        </is>
      </c>
      <c r="C34" s="432" t="n"/>
      <c r="D34" s="432" t="n"/>
      <c r="E34" s="432" t="n"/>
      <c r="F34" s="432" t="n"/>
      <c r="G34" s="432" t="n"/>
      <c r="H34" s="433" t="n"/>
      <c r="I34" s="277" t="n"/>
      <c r="J34" s="277" t="n"/>
    </row>
    <row r="35" ht="14.25" customFormat="1" customHeight="1" s="273">
      <c r="A35" s="355" t="n">
        <v>7</v>
      </c>
      <c r="B35" s="355" t="inlineStr">
        <is>
          <t>БЦ.81.389</t>
        </is>
      </c>
      <c r="C35" s="354" t="inlineStr">
        <is>
          <t>Кабель алюминиевый 35кВ 1х800</t>
        </is>
      </c>
      <c r="D35" s="355" t="inlineStr">
        <is>
          <t>км</t>
        </is>
      </c>
      <c r="E35" s="431">
        <f>1*3.3</f>
        <v/>
      </c>
      <c r="F35" s="357">
        <f>ROUND(I35/'Прил. 10'!$D$13,2)</f>
        <v/>
      </c>
      <c r="G35" s="194">
        <f>ROUND(E35*F35,2)</f>
        <v/>
      </c>
      <c r="H35" s="196">
        <f>G35/$G$43</f>
        <v/>
      </c>
      <c r="I35" s="194" t="n">
        <v>2586715.55</v>
      </c>
      <c r="J35" s="194">
        <f>ROUND(I35*E35,2)</f>
        <v/>
      </c>
    </row>
    <row r="36" ht="14.25" customFormat="1" customHeight="1" s="273">
      <c r="A36" s="366" t="n"/>
      <c r="B36" s="200" t="n"/>
      <c r="C36" s="201" t="inlineStr">
        <is>
          <t>Итого основные материалы</t>
        </is>
      </c>
      <c r="D36" s="366" t="n"/>
      <c r="E36" s="434" t="n"/>
      <c r="F36" s="202" t="n"/>
      <c r="G36" s="202">
        <f>SUM(G35:G35)</f>
        <v/>
      </c>
      <c r="H36" s="196">
        <f>G36/$G$43</f>
        <v/>
      </c>
      <c r="I36" s="194" t="n"/>
      <c r="J36" s="202">
        <f>SUM(J35:J35)</f>
        <v/>
      </c>
    </row>
    <row r="37" outlineLevel="1" ht="25.5" customFormat="1" customHeight="1" s="273">
      <c r="A37" s="355" t="n">
        <v>8</v>
      </c>
      <c r="B37" s="243" t="inlineStr">
        <is>
          <t>08.3.08.02-0052</t>
        </is>
      </c>
      <c r="C37" s="354" t="inlineStr">
        <is>
          <t>Уголок горячекатаный, марка стали ВСт3кп2, размер 50х50х5 мм</t>
        </is>
      </c>
      <c r="D37" s="355" t="inlineStr">
        <is>
          <t>т</t>
        </is>
      </c>
      <c r="E37" s="431" t="n">
        <v>0.1</v>
      </c>
      <c r="F37" s="194" t="n">
        <v>5763</v>
      </c>
      <c r="G37" s="194">
        <f>ROUND(E37*F37,2)</f>
        <v/>
      </c>
      <c r="H37" s="196">
        <f>G37/$G$43</f>
        <v/>
      </c>
      <c r="I37" s="194">
        <f>ROUND(F37*'Прил. 10'!$D$13,2)</f>
        <v/>
      </c>
      <c r="J37" s="194">
        <f>ROUND(I37*E37,2)</f>
        <v/>
      </c>
    </row>
    <row r="38" outlineLevel="1" ht="14.25" customFormat="1" customHeight="1" s="273">
      <c r="A38" s="355" t="n">
        <v>9</v>
      </c>
      <c r="B38" s="243" t="inlineStr">
        <is>
          <t>14.4.02.09-0001</t>
        </is>
      </c>
      <c r="C38" s="354" t="inlineStr">
        <is>
          <t>Краска</t>
        </is>
      </c>
      <c r="D38" s="355" t="inlineStr">
        <is>
          <t>кг</t>
        </is>
      </c>
      <c r="E38" s="431" t="n">
        <v>2.5</v>
      </c>
      <c r="F38" s="194" t="n">
        <v>28.6</v>
      </c>
      <c r="G38" s="194">
        <f>ROUND(E38*F38,2)</f>
        <v/>
      </c>
      <c r="H38" s="196">
        <f>G38/$G$43</f>
        <v/>
      </c>
      <c r="I38" s="194">
        <f>ROUND(F38*'Прил. 10'!$D$13,2)</f>
        <v/>
      </c>
      <c r="J38" s="194">
        <f>ROUND(I38*E38,2)</f>
        <v/>
      </c>
    </row>
    <row r="39" outlineLevel="1" ht="38.25" customFormat="1" customHeight="1" s="273">
      <c r="A39" s="355" t="n">
        <v>10</v>
      </c>
      <c r="B39" s="243" t="inlineStr">
        <is>
          <t>08.3.07.01-0076</t>
        </is>
      </c>
      <c r="C39" s="354" t="inlineStr">
        <is>
          <t>Прокат полосовой, горячекатаный, марка стали Ст3сп, ширина 50-200 мм, толщина 4-5 мм</t>
        </is>
      </c>
      <c r="D39" s="355" t="inlineStr">
        <is>
          <t>т</t>
        </is>
      </c>
      <c r="E39" s="431" t="n">
        <v>0.01</v>
      </c>
      <c r="F39" s="194" t="n">
        <v>5000</v>
      </c>
      <c r="G39" s="194">
        <f>ROUND(E39*F39,2)</f>
        <v/>
      </c>
      <c r="H39" s="196">
        <f>G39/$G$43</f>
        <v/>
      </c>
      <c r="I39" s="194">
        <f>ROUND(F39*'Прил. 10'!$D$13,2)</f>
        <v/>
      </c>
      <c r="J39" s="194">
        <f>ROUND(I39*E39,2)</f>
        <v/>
      </c>
    </row>
    <row r="40" outlineLevel="1" ht="14.25" customFormat="1" customHeight="1" s="273">
      <c r="A40" s="355" t="n">
        <v>11</v>
      </c>
      <c r="B40" s="243" t="inlineStr">
        <is>
          <t>01.7.06.07-0002</t>
        </is>
      </c>
      <c r="C40" s="354" t="inlineStr">
        <is>
          <t>Лента монтажная, тип ЛМ-5</t>
        </is>
      </c>
      <c r="D40" s="355" t="inlineStr">
        <is>
          <t>10 м</t>
        </is>
      </c>
      <c r="E40" s="431" t="n">
        <v>0.96</v>
      </c>
      <c r="F40" s="194" t="n">
        <v>6.9</v>
      </c>
      <c r="G40" s="194">
        <f>ROUND(E40*F40,2)</f>
        <v/>
      </c>
      <c r="H40" s="196">
        <f>G40/$G$43</f>
        <v/>
      </c>
      <c r="I40" s="194">
        <f>ROUND(F40*'Прил. 10'!$D$13,2)</f>
        <v/>
      </c>
      <c r="J40" s="194">
        <f>ROUND(I40*E40,2)</f>
        <v/>
      </c>
    </row>
    <row r="41" outlineLevel="1" ht="14.25" customFormat="1" customHeight="1" s="273">
      <c r="A41" s="355" t="n">
        <v>12</v>
      </c>
      <c r="B41" s="243" t="inlineStr">
        <is>
          <t>14.4.03.03-0002</t>
        </is>
      </c>
      <c r="C41" s="354" t="inlineStr">
        <is>
          <t>Лак битумный БТ-123</t>
        </is>
      </c>
      <c r="D41" s="355" t="inlineStr">
        <is>
          <t>т</t>
        </is>
      </c>
      <c r="E41" s="431" t="n">
        <v>0.0005999999999999999</v>
      </c>
      <c r="F41" s="194" t="n">
        <v>7826.9</v>
      </c>
      <c r="G41" s="194">
        <f>ROUND(E41*F41,2)</f>
        <v/>
      </c>
      <c r="H41" s="196">
        <f>G41/$G$43</f>
        <v/>
      </c>
      <c r="I41" s="194">
        <f>ROUND(F41*'Прил. 10'!$D$13,2)</f>
        <v/>
      </c>
      <c r="J41" s="194">
        <f>ROUND(I41*E41,2)</f>
        <v/>
      </c>
    </row>
    <row r="42" ht="14.25" customFormat="1" customHeight="1" s="273">
      <c r="A42" s="366" t="n"/>
      <c r="B42" s="355" t="n"/>
      <c r="C42" s="354" t="inlineStr">
        <is>
          <t>Итого прочие материалы</t>
        </is>
      </c>
      <c r="D42" s="355" t="n"/>
      <c r="E42" s="431" t="n"/>
      <c r="F42" s="357" t="n"/>
      <c r="G42" s="194">
        <f>SUM(G37:G41)</f>
        <v/>
      </c>
      <c r="H42" s="196">
        <f>G42/$G$43</f>
        <v/>
      </c>
      <c r="I42" s="194" t="n"/>
      <c r="J42" s="194">
        <f>SUM(J37:J41)</f>
        <v/>
      </c>
    </row>
    <row r="43" ht="14.25" customFormat="1" customHeight="1" s="273">
      <c r="A43" s="355" t="n"/>
      <c r="B43" s="355" t="n"/>
      <c r="C43" s="353" t="inlineStr">
        <is>
          <t>Итого по разделу «Материалы»</t>
        </is>
      </c>
      <c r="D43" s="355" t="n"/>
      <c r="E43" s="356" t="n"/>
      <c r="F43" s="357" t="n"/>
      <c r="G43" s="194">
        <f>G36+G42</f>
        <v/>
      </c>
      <c r="H43" s="358">
        <f>G43/$G$43</f>
        <v/>
      </c>
      <c r="I43" s="194" t="n"/>
      <c r="J43" s="194">
        <f>J36+J42</f>
        <v/>
      </c>
    </row>
    <row r="44" ht="14.25" customFormat="1" customHeight="1" s="273">
      <c r="A44" s="355" t="n"/>
      <c r="B44" s="355" t="n"/>
      <c r="C44" s="354" t="inlineStr">
        <is>
          <t>ИТОГО ПО РМ</t>
        </is>
      </c>
      <c r="D44" s="355" t="n"/>
      <c r="E44" s="356" t="n"/>
      <c r="F44" s="357" t="n"/>
      <c r="G44" s="194">
        <f>G15+G26+G43</f>
        <v/>
      </c>
      <c r="H44" s="358" t="n"/>
      <c r="I44" s="194" t="n"/>
      <c r="J44" s="194">
        <f>J15+J26+J43</f>
        <v/>
      </c>
    </row>
    <row r="45" ht="14.25" customFormat="1" customHeight="1" s="273">
      <c r="A45" s="355" t="n"/>
      <c r="B45" s="355" t="n"/>
      <c r="C45" s="354" t="inlineStr">
        <is>
          <t>Накладные расходы</t>
        </is>
      </c>
      <c r="D45" s="192">
        <f>ROUND(G45/(G$17+$G$15),2)</f>
        <v/>
      </c>
      <c r="E45" s="356" t="n"/>
      <c r="F45" s="357" t="n"/>
      <c r="G45" s="194" t="n">
        <v>2977.61</v>
      </c>
      <c r="H45" s="358" t="n"/>
      <c r="I45" s="194" t="n"/>
      <c r="J45" s="194">
        <f>ROUND(D45*(J15+J17),2)</f>
        <v/>
      </c>
    </row>
    <row r="46" ht="14.25" customFormat="1" customHeight="1" s="273">
      <c r="A46" s="355" t="n"/>
      <c r="B46" s="355" t="n"/>
      <c r="C46" s="354" t="inlineStr">
        <is>
          <t>Сметная прибыль</t>
        </is>
      </c>
      <c r="D46" s="192">
        <f>ROUND(G46/(G$15+G$17),2)</f>
        <v/>
      </c>
      <c r="E46" s="356" t="n"/>
      <c r="F46" s="357" t="n"/>
      <c r="G46" s="194" t="n">
        <v>1565.55</v>
      </c>
      <c r="H46" s="358" t="n"/>
      <c r="I46" s="194" t="n"/>
      <c r="J46" s="194">
        <f>ROUND(D46*(J15+J17),2)</f>
        <v/>
      </c>
    </row>
    <row r="47" ht="14.25" customFormat="1" customHeight="1" s="273">
      <c r="A47" s="355" t="n"/>
      <c r="B47" s="355" t="n"/>
      <c r="C47" s="354" t="inlineStr">
        <is>
          <t>Итого СМР (с НР и СП)</t>
        </is>
      </c>
      <c r="D47" s="355" t="n"/>
      <c r="E47" s="356" t="n"/>
      <c r="F47" s="357" t="n"/>
      <c r="G47" s="194">
        <f>G15+G26+G43+G45+G46</f>
        <v/>
      </c>
      <c r="H47" s="358" t="n"/>
      <c r="I47" s="194" t="n"/>
      <c r="J47" s="194">
        <f>J15+J26+J43+J45+J46</f>
        <v/>
      </c>
    </row>
    <row r="48" ht="14.25" customFormat="1" customHeight="1" s="273">
      <c r="A48" s="355" t="n"/>
      <c r="B48" s="355" t="n"/>
      <c r="C48" s="354" t="inlineStr">
        <is>
          <t>ВСЕГО СМР + ОБОРУДОВАНИЕ</t>
        </is>
      </c>
      <c r="D48" s="355" t="n"/>
      <c r="E48" s="356" t="n"/>
      <c r="F48" s="357" t="n"/>
      <c r="G48" s="194">
        <f>G47+G31</f>
        <v/>
      </c>
      <c r="H48" s="358" t="n"/>
      <c r="I48" s="194" t="n"/>
      <c r="J48" s="194">
        <f>J47+J31</f>
        <v/>
      </c>
    </row>
    <row r="49" ht="34.5" customFormat="1" customHeight="1" s="273">
      <c r="A49" s="355" t="n"/>
      <c r="B49" s="355" t="n"/>
      <c r="C49" s="354" t="inlineStr">
        <is>
          <t>ИТОГО ПОКАЗАТЕЛЬ НА ЕД. ИЗМ.</t>
        </is>
      </c>
      <c r="D49" s="355" t="inlineStr">
        <is>
          <t>1 км</t>
        </is>
      </c>
      <c r="E49" s="431" t="n">
        <v>1</v>
      </c>
      <c r="F49" s="357" t="n"/>
      <c r="G49" s="194">
        <f>G48/E49</f>
        <v/>
      </c>
      <c r="H49" s="358" t="n"/>
      <c r="I49" s="194" t="n"/>
      <c r="J49" s="194">
        <f>J48/E49</f>
        <v/>
      </c>
    </row>
    <row r="51" ht="14.25" customFormat="1" customHeight="1" s="273">
      <c r="A51" s="267" t="inlineStr">
        <is>
          <t>Составил ______________________    А.Р. Маркова</t>
        </is>
      </c>
    </row>
    <row r="52" ht="14.25" customFormat="1" customHeight="1" s="273">
      <c r="A52" s="274" t="inlineStr">
        <is>
          <t xml:space="preserve">                         (подпись, инициалы, фамилия)</t>
        </is>
      </c>
    </row>
    <row r="53" ht="14.25" customFormat="1" customHeight="1" s="273">
      <c r="A53" s="267" t="n"/>
    </row>
    <row r="54" ht="14.25" customFormat="1" customHeight="1" s="273">
      <c r="A54" s="267" t="inlineStr">
        <is>
          <t>Проверил ______________________        А.В. Костянецкая</t>
        </is>
      </c>
    </row>
    <row r="55" ht="14.25" customFormat="1" customHeight="1" s="273">
      <c r="A55" s="27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3" workbookViewId="0">
      <selection activeCell="C14" sqref="C14"/>
    </sheetView>
  </sheetViews>
  <sheetFormatPr baseColWidth="8" defaultRowHeight="14.4"/>
  <cols>
    <col width="5.6640625" customWidth="1" style="292" min="1" max="1"/>
    <col width="17.5546875" customWidth="1" style="292" min="2" max="2"/>
    <col width="39.109375" customWidth="1" style="292" min="3" max="3"/>
    <col width="10.6640625" customWidth="1" style="292" min="4" max="4"/>
    <col width="13.88671875" customWidth="1" style="292" min="5" max="5"/>
    <col width="13.33203125" customWidth="1" style="292" min="6" max="6"/>
    <col width="14.109375" customWidth="1" style="292" min="7" max="7"/>
  </cols>
  <sheetData>
    <row r="1">
      <c r="A1" s="367" t="inlineStr">
        <is>
          <t>Приложение №6</t>
        </is>
      </c>
    </row>
    <row r="2" ht="21.75" customHeight="1" s="292">
      <c r="A2" s="367" t="n"/>
      <c r="B2" s="367" t="n"/>
      <c r="C2" s="367" t="n"/>
      <c r="D2" s="367" t="n"/>
      <c r="E2" s="367" t="n"/>
      <c r="F2" s="367" t="n"/>
      <c r="G2" s="367" t="n"/>
    </row>
    <row r="3">
      <c r="A3" s="314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КЛ 35 кВ (с алюминиевой жилой) сечение жилы 800 мм2</t>
        </is>
      </c>
    </row>
    <row r="5">
      <c r="A5" s="267" t="n"/>
      <c r="B5" s="267" t="n"/>
      <c r="C5" s="267" t="n"/>
      <c r="D5" s="267" t="n"/>
      <c r="E5" s="267" t="n"/>
      <c r="F5" s="267" t="n"/>
      <c r="G5" s="267" t="n"/>
    </row>
    <row r="6" ht="30.15" customHeight="1" s="292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2">
      <c r="A9" s="220" t="n"/>
      <c r="B9" s="354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2">
      <c r="A10" s="355" t="n"/>
      <c r="B10" s="353" t="n"/>
      <c r="C10" s="354" t="inlineStr">
        <is>
          <t>ИТОГО ИНЖЕНЕРНОЕ ОБОРУДОВАНИЕ</t>
        </is>
      </c>
      <c r="D10" s="353" t="n"/>
      <c r="E10" s="148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2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194" t="n">
        <v>0</v>
      </c>
    </row>
    <row r="13" ht="19.5" customHeight="1" s="292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194">
        <f>G10+G12</f>
        <v/>
      </c>
    </row>
    <row r="14">
      <c r="A14" s="271" t="n"/>
      <c r="B14" s="272" t="n"/>
      <c r="C14" s="271" t="n"/>
      <c r="D14" s="271" t="n"/>
      <c r="E14" s="271" t="n"/>
      <c r="F14" s="271" t="n"/>
      <c r="G14" s="271" t="n"/>
    </row>
    <row r="15">
      <c r="A15" s="267" t="inlineStr">
        <is>
          <t>Составил ______________________    А.Р. Маркова</t>
        </is>
      </c>
      <c r="B15" s="273" t="n"/>
      <c r="C15" s="273" t="n"/>
      <c r="D15" s="271" t="n"/>
      <c r="E15" s="271" t="n"/>
      <c r="F15" s="271" t="n"/>
      <c r="G15" s="271" t="n"/>
    </row>
    <row r="16">
      <c r="A16" s="274" t="inlineStr">
        <is>
          <t xml:space="preserve">                         (подпись, инициалы, фамилия)</t>
        </is>
      </c>
      <c r="B16" s="273" t="n"/>
      <c r="C16" s="273" t="n"/>
      <c r="D16" s="271" t="n"/>
      <c r="E16" s="271" t="n"/>
      <c r="F16" s="271" t="n"/>
      <c r="G16" s="271" t="n"/>
    </row>
    <row r="17">
      <c r="A17" s="267" t="n"/>
      <c r="B17" s="273" t="n"/>
      <c r="C17" s="273" t="n"/>
      <c r="D17" s="271" t="n"/>
      <c r="E17" s="271" t="n"/>
      <c r="F17" s="271" t="n"/>
      <c r="G17" s="271" t="n"/>
    </row>
    <row r="18">
      <c r="A18" s="267" t="inlineStr">
        <is>
          <t>Проверил ______________________        А.В. Костянецкая</t>
        </is>
      </c>
      <c r="B18" s="273" t="n"/>
      <c r="C18" s="273" t="n"/>
      <c r="D18" s="271" t="n"/>
      <c r="E18" s="271" t="n"/>
      <c r="F18" s="271" t="n"/>
      <c r="G18" s="271" t="n"/>
    </row>
    <row r="19">
      <c r="A19" s="274" t="inlineStr">
        <is>
          <t xml:space="preserve">                        (подпись, инициалы, фамилия)</t>
        </is>
      </c>
      <c r="B19" s="273" t="n"/>
      <c r="C19" s="273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2" sqref="D12"/>
    </sheetView>
  </sheetViews>
  <sheetFormatPr baseColWidth="8" defaultColWidth="8.88671875" defaultRowHeight="14.4"/>
  <cols>
    <col width="14.44140625" customWidth="1" style="292" min="1" max="1"/>
    <col width="29.5546875" customWidth="1" style="292" min="2" max="2"/>
    <col width="39.109375" customWidth="1" style="292" min="3" max="3"/>
    <col width="48.109375" customWidth="1" style="292" min="4" max="4"/>
    <col width="8.88671875" customWidth="1" style="292" min="5" max="5"/>
  </cols>
  <sheetData>
    <row r="1">
      <c r="B1" s="267" t="n"/>
      <c r="C1" s="267" t="n"/>
      <c r="D1" s="367" t="inlineStr">
        <is>
          <t>Приложение №7</t>
        </is>
      </c>
    </row>
    <row r="2" ht="25.95" customHeight="1" s="292">
      <c r="A2" s="367" t="n"/>
      <c r="B2" s="367" t="n"/>
      <c r="C2" s="367" t="n"/>
      <c r="D2" s="367" t="n"/>
    </row>
    <row r="3" ht="24.75" customHeight="1" s="292">
      <c r="A3" s="314" t="inlineStr">
        <is>
          <t>Расчет показателя УНЦ</t>
        </is>
      </c>
    </row>
    <row r="4" ht="24.75" customHeight="1" s="292">
      <c r="A4" s="314" t="n"/>
      <c r="B4" s="314" t="n"/>
      <c r="C4" s="314" t="n"/>
      <c r="D4" s="314" t="n"/>
    </row>
    <row r="5" ht="24.6" customHeight="1" s="292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9.95" customHeight="1" s="292">
      <c r="A6" s="317" t="inlineStr">
        <is>
          <t>Единица измерения  — 1 км</t>
        </is>
      </c>
      <c r="D6" s="317" t="n"/>
    </row>
    <row r="7">
      <c r="A7" s="267" t="n"/>
      <c r="B7" s="267" t="n"/>
      <c r="C7" s="267" t="n"/>
      <c r="D7" s="267" t="n"/>
    </row>
    <row r="8" ht="14.4" customHeight="1" s="292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 ht="15" customHeight="1" s="292">
      <c r="A9" s="421" t="n"/>
      <c r="B9" s="421" t="n"/>
      <c r="C9" s="421" t="n"/>
      <c r="D9" s="421" t="n"/>
    </row>
    <row r="10">
      <c r="A10" s="355" t="n">
        <v>1</v>
      </c>
      <c r="B10" s="355" t="n">
        <v>2</v>
      </c>
      <c r="C10" s="355" t="n">
        <v>3</v>
      </c>
      <c r="D10" s="355" t="n">
        <v>4</v>
      </c>
    </row>
    <row r="11" ht="41.4" customHeight="1" s="292">
      <c r="A11" s="355" t="inlineStr">
        <is>
          <t>К1-13-4</t>
        </is>
      </c>
      <c r="B11" s="355" t="inlineStr">
        <is>
          <t>УНЦ КЛ 6-500 кВ (с алюминиевой жилой)</t>
        </is>
      </c>
      <c r="C11" s="275">
        <f>D5</f>
        <v/>
      </c>
      <c r="D11" s="269">
        <f>'Прил.4 РМ'!C41/1000</f>
        <v/>
      </c>
      <c r="E11" s="270" t="n"/>
    </row>
    <row r="12">
      <c r="A12" s="271" t="n"/>
      <c r="B12" s="272" t="n"/>
      <c r="C12" s="271" t="n"/>
      <c r="D12" s="271" t="n"/>
    </row>
    <row r="13">
      <c r="A13" s="267" t="inlineStr">
        <is>
          <t>Составил ______________________      А.Р. Маркова</t>
        </is>
      </c>
      <c r="B13" s="273" t="n"/>
      <c r="C13" s="273" t="n"/>
      <c r="D13" s="271" t="n"/>
    </row>
    <row r="14">
      <c r="A14" s="274" t="inlineStr">
        <is>
          <t xml:space="preserve">                         (подпись, инициалы, фамилия)</t>
        </is>
      </c>
      <c r="B14" s="273" t="n"/>
      <c r="C14" s="273" t="n"/>
      <c r="D14" s="271" t="n"/>
    </row>
    <row r="15">
      <c r="A15" s="267" t="n"/>
      <c r="B15" s="273" t="n"/>
      <c r="C15" s="273" t="n"/>
      <c r="D15" s="271" t="n"/>
    </row>
    <row r="16">
      <c r="A16" s="267" t="inlineStr">
        <is>
          <t>Проверил ______________________        А.В. Костянецкая</t>
        </is>
      </c>
      <c r="B16" s="273" t="n"/>
      <c r="C16" s="273" t="n"/>
      <c r="D16" s="271" t="n"/>
    </row>
    <row r="17">
      <c r="A17" s="274" t="inlineStr">
        <is>
          <t xml:space="preserve">                        (подпись, инициалы, фамилия)</t>
        </is>
      </c>
      <c r="B17" s="273" t="n"/>
      <c r="C17" s="273" t="n"/>
      <c r="D17" s="27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F29" sqref="F29"/>
    </sheetView>
  </sheetViews>
  <sheetFormatPr baseColWidth="8" defaultColWidth="9.109375" defaultRowHeight="14.4"/>
  <cols>
    <col width="9.109375" customWidth="1" style="292" min="1" max="1"/>
    <col width="40.6640625" customWidth="1" style="292" min="2" max="2"/>
    <col width="38.6640625" customWidth="1" style="292" min="3" max="3"/>
    <col width="32" customWidth="1" style="292" min="4" max="4"/>
    <col width="9.109375" customWidth="1" style="292" min="5" max="5"/>
  </cols>
  <sheetData>
    <row r="4" ht="15.75" customHeight="1" s="292">
      <c r="B4" s="324" t="inlineStr">
        <is>
          <t>Приложение № 10</t>
        </is>
      </c>
    </row>
    <row r="5" ht="18.75" customHeight="1" s="292">
      <c r="B5" s="172" t="n"/>
    </row>
    <row r="6" ht="15.75" customHeight="1" s="292">
      <c r="B6" s="325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2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292">
      <c r="B10" s="341" t="n">
        <v>1</v>
      </c>
      <c r="C10" s="341" t="n">
        <v>2</v>
      </c>
      <c r="D10" s="341" t="n">
        <v>3</v>
      </c>
    </row>
    <row r="11" ht="31.5" customHeight="1" s="292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31.5" customHeight="1" s="292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10.77</v>
      </c>
    </row>
    <row r="13" ht="31.5" customHeight="1" s="292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4.39</v>
      </c>
    </row>
    <row r="14" ht="31.5" customHeight="1" s="292">
      <c r="B14" s="341" t="inlineStr">
        <is>
          <t>Индекс изменения сметной стоимости на 1 квартал 2023 года. ОБ</t>
        </is>
      </c>
      <c r="C14" s="341" t="inlineStr">
        <is>
          <t>Письмо Минстроя России от 23.02.2023г. №9791-ИФ/09 прил.6</t>
        </is>
      </c>
      <c r="D14" s="341" t="n">
        <v>6.26</v>
      </c>
    </row>
    <row r="15" ht="89.40000000000001" customHeight="1" s="292">
      <c r="B15" s="341" t="inlineStr">
        <is>
          <t>Временные здания и сооружения</t>
        </is>
      </c>
      <c r="C15" s="34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2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2">
      <c r="B17" s="341" t="inlineStr">
        <is>
          <t>Пусконаладочные работы*</t>
        </is>
      </c>
      <c r="C17" s="341" t="n"/>
      <c r="D17" s="175" t="inlineStr">
        <is>
          <t>Расчет</t>
        </is>
      </c>
    </row>
    <row r="18" ht="31.65" customHeight="1" s="292">
      <c r="B18" s="341" t="inlineStr">
        <is>
          <t>Строительный контроль</t>
        </is>
      </c>
      <c r="C18" s="341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2">
      <c r="B19" s="341" t="inlineStr">
        <is>
          <t>Авторский надзор - 0,2%</t>
        </is>
      </c>
      <c r="C19" s="341" t="inlineStr">
        <is>
          <t>Приказ от 4.08.2020 № 421/пр п.173</t>
        </is>
      </c>
      <c r="D19" s="175" t="n">
        <v>0.002</v>
      </c>
    </row>
    <row r="20" ht="24" customHeight="1" s="292">
      <c r="B20" s="341" t="inlineStr">
        <is>
          <t>Непредвиденные расходы</t>
        </is>
      </c>
      <c r="C20" s="341" t="inlineStr">
        <is>
          <t>Приказ от 4.08.2020 № 421/пр п.179</t>
        </is>
      </c>
      <c r="D20" s="175" t="n">
        <v>0.03</v>
      </c>
    </row>
    <row r="21" ht="18.75" customHeight="1" s="292">
      <c r="B21" s="233" t="n"/>
    </row>
    <row r="22" ht="18.75" customHeight="1" s="292">
      <c r="B22" s="233" t="n"/>
    </row>
    <row r="23" ht="18.75" customHeight="1" s="292">
      <c r="B23" s="233" t="n"/>
    </row>
    <row r="24" ht="18.75" customHeight="1" s="292">
      <c r="B24" s="233" t="n"/>
    </row>
    <row r="27">
      <c r="B27" s="267" t="inlineStr">
        <is>
          <t>Составил ______________________        Е.А. Князева</t>
        </is>
      </c>
      <c r="C27" s="273" t="n"/>
    </row>
    <row r="28">
      <c r="B28" s="274" t="inlineStr">
        <is>
          <t xml:space="preserve">                         (подпись, инициалы, фамилия)</t>
        </is>
      </c>
      <c r="C28" s="273" t="n"/>
    </row>
    <row r="29">
      <c r="B29" s="267" t="n"/>
      <c r="C29" s="273" t="n"/>
    </row>
    <row r="30">
      <c r="B30" s="267" t="inlineStr">
        <is>
          <t>Проверил ______________________        А.В. Костянецкая</t>
        </is>
      </c>
      <c r="C30" s="273" t="n"/>
    </row>
    <row r="31">
      <c r="B31" s="274" t="inlineStr">
        <is>
          <t xml:space="preserve">                        (подпись, инициалы, фамилия)</t>
        </is>
      </c>
      <c r="C31" s="27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9" sqref="F29"/>
    </sheetView>
  </sheetViews>
  <sheetFormatPr baseColWidth="8" defaultColWidth="9.109375" defaultRowHeight="14.4"/>
  <cols>
    <col width="44.88671875" customWidth="1" style="292" min="2" max="2"/>
    <col width="13" customWidth="1" style="292" min="3" max="3"/>
    <col width="22.88671875" customWidth="1" style="292" min="4" max="4"/>
    <col width="21.5546875" customWidth="1" style="292" min="5" max="5"/>
    <col width="43.88671875" customWidth="1" style="292" min="6" max="6"/>
  </cols>
  <sheetData>
    <row r="1" s="292"/>
    <row r="2" ht="17.25" customHeight="1" s="292">
      <c r="A2" s="325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294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294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41" t="n"/>
      <c r="D10" s="341" t="n"/>
      <c r="E10" s="435" t="n">
        <v>3.8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436" t="n">
        <v>1.308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29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37" t="n">
        <v>1.139</v>
      </c>
      <c r="F12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309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12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2025-01-24T12:04:09Z</dcterms:modified>
  <cp:lastModifiedBy>user1</cp:lastModifiedBy>
</cp:coreProperties>
</file>