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33203125" customWidth="1" style="325" min="5" max="5"/>
    <col width="9.109375" customWidth="1" style="325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15000000000001" customHeight="1" s="323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2" t="n"/>
      <c r="C6" s="252" t="n"/>
      <c r="D6" s="252" t="n"/>
    </row>
    <row r="7" ht="64.5" customHeight="1" s="323">
      <c r="B7" s="354" t="inlineStr">
        <is>
          <t>Наименование разрабатываемого показателя УНЦ - КЛ 220 кВ (с алюминиевой жилой) сечение жилы 800 мм2</t>
        </is>
      </c>
    </row>
    <row r="8" ht="31.65" customHeight="1" s="323">
      <c r="B8" s="354" t="inlineStr">
        <is>
          <t>Сопоставимый уровень цен: 2 кв. 2018 г.</t>
        </is>
      </c>
    </row>
    <row r="9" ht="15.75" customHeight="1" s="323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28" t="n"/>
    </row>
    <row r="12" ht="96.75" customHeight="1" s="323">
      <c r="B12" s="357" t="n">
        <v>1</v>
      </c>
      <c r="C12" s="337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37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>
      <c r="B14" s="357" t="n">
        <v>3</v>
      </c>
      <c r="C14" s="337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37" t="inlineStr">
        <is>
          <t>Мощность объекта</t>
        </is>
      </c>
      <c r="D15" s="357" t="n">
        <v>1</v>
      </c>
    </row>
    <row r="16" ht="116.4" customHeight="1" s="323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алюминиевый 220кВ 3х800</t>
        </is>
      </c>
    </row>
    <row r="17" ht="79.5" customHeight="1" s="323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2">
        <f>D18+D19+D20+D21</f>
        <v/>
      </c>
      <c r="E17" s="251" t="n"/>
    </row>
    <row r="18">
      <c r="B18" s="227" t="inlineStr">
        <is>
          <t>6.1</t>
        </is>
      </c>
      <c r="C18" s="337" t="inlineStr">
        <is>
          <t>строительно-монтажные работы</t>
        </is>
      </c>
      <c r="D18" s="262">
        <f>'Прил.2 Расч стоим'!G13</f>
        <v/>
      </c>
    </row>
    <row r="19" ht="15.75" customHeight="1" s="323">
      <c r="B19" s="227" t="inlineStr">
        <is>
          <t>6.2</t>
        </is>
      </c>
      <c r="C19" s="337" t="inlineStr">
        <is>
          <t>оборудование и инвентарь</t>
        </is>
      </c>
      <c r="D19" s="262" t="n">
        <v>0</v>
      </c>
    </row>
    <row r="20" ht="16.5" customHeight="1" s="323">
      <c r="B20" s="227" t="inlineStr">
        <is>
          <t>6.3</t>
        </is>
      </c>
      <c r="C20" s="337" t="inlineStr">
        <is>
          <t>пусконаладочные работы</t>
        </is>
      </c>
      <c r="D20" s="262" t="n">
        <v>0</v>
      </c>
    </row>
    <row r="21" ht="35.4" customHeight="1" s="323">
      <c r="B21" s="227" t="inlineStr">
        <is>
          <t>6.4</t>
        </is>
      </c>
      <c r="C21" s="226" t="inlineStr">
        <is>
          <t>прочие и лимитированные затраты</t>
        </is>
      </c>
      <c r="D21" s="262">
        <f>D18*0.039+(D18*0.039+D18)*0.021</f>
        <v/>
      </c>
    </row>
    <row r="22">
      <c r="B22" s="357" t="n">
        <v>7</v>
      </c>
      <c r="C22" s="226" t="inlineStr">
        <is>
          <t>Сопоставимый уровень цен</t>
        </is>
      </c>
      <c r="D22" s="263" t="inlineStr">
        <is>
          <t>2 кв. 2018 г.</t>
        </is>
      </c>
      <c r="E22" s="224" t="n"/>
    </row>
    <row r="23" ht="123" customHeight="1" s="323">
      <c r="B23" s="35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2">
        <f>D17</f>
        <v/>
      </c>
      <c r="E23" s="251" t="n"/>
    </row>
    <row r="24" ht="60.75" customHeight="1" s="323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2">
        <f>D23/D15</f>
        <v/>
      </c>
      <c r="E24" s="224" t="n"/>
    </row>
    <row r="25" ht="48.15" customHeight="1" s="323">
      <c r="B25" s="357" t="n">
        <v>10</v>
      </c>
      <c r="C25" s="337" t="inlineStr">
        <is>
          <t>Примечание</t>
        </is>
      </c>
      <c r="D25" s="357" t="n"/>
    </row>
    <row r="26">
      <c r="B26" s="222" t="n"/>
      <c r="C26" s="221" t="n"/>
      <c r="D26" s="221" t="n"/>
    </row>
    <row r="27" ht="37.5" customHeight="1" s="323">
      <c r="B27" s="220" t="n"/>
    </row>
    <row r="28">
      <c r="B28" s="325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E16" sqref="E16"/>
    </sheetView>
  </sheetViews>
  <sheetFormatPr baseColWidth="8" defaultColWidth="9.109375" defaultRowHeight="15.6"/>
  <cols>
    <col width="5.664062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664062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2" t="inlineStr">
        <is>
          <t>Приложение № 2</t>
        </is>
      </c>
      <c r="K3" s="220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3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3">
      <c r="B8" s="253" t="n"/>
    </row>
    <row r="9" ht="15.75" customHeight="1" s="323">
      <c r="A9" s="325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5" t="n"/>
      <c r="L9" s="325" t="n"/>
    </row>
    <row r="10" ht="15.75" customHeight="1" s="323">
      <c r="A10" s="325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36" t="n"/>
      <c r="H10" s="436" t="n"/>
      <c r="I10" s="436" t="n"/>
      <c r="J10" s="437" t="n"/>
      <c r="K10" s="325" t="n"/>
      <c r="L10" s="325" t="n"/>
    </row>
    <row r="11" ht="31.5" customHeight="1" s="323">
      <c r="A11" s="325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5" t="n"/>
      <c r="L11" s="325" t="n"/>
    </row>
    <row r="12" ht="60" customHeight="1" s="323">
      <c r="A12" s="325" t="n"/>
      <c r="B12" s="326" t="n">
        <v>1</v>
      </c>
      <c r="C12" s="342">
        <f>'Прил.1 Сравнит табл'!D16</f>
        <v/>
      </c>
      <c r="D12" s="313" t="inlineStr">
        <is>
          <t>02-08-01</t>
        </is>
      </c>
      <c r="E12" s="337" t="inlineStr">
        <is>
          <t>Заходы КЛ 220 кВ</t>
        </is>
      </c>
      <c r="F12" s="315" t="n"/>
      <c r="G12" s="315">
        <f>21551373.882/1000</f>
        <v/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3">
      <c r="A13" s="325" t="n"/>
      <c r="B13" s="356" t="inlineStr">
        <is>
          <t>Всего по объекту:</t>
        </is>
      </c>
      <c r="C13" s="436" t="n"/>
      <c r="D13" s="436" t="n"/>
      <c r="E13" s="437" t="n"/>
      <c r="F13" s="319" t="n"/>
      <c r="G13" s="319">
        <f>SUM(G12:G12)</f>
        <v/>
      </c>
      <c r="H13" s="319" t="n"/>
      <c r="I13" s="319" t="n"/>
      <c r="J13" s="319">
        <f>SUM(F13:I13)</f>
        <v/>
      </c>
      <c r="K13" s="317" t="n"/>
      <c r="L13" s="317" t="n"/>
    </row>
    <row r="14" ht="15.75" customHeight="1" s="323">
      <c r="A14" s="325" t="n"/>
      <c r="B14" s="356" t="inlineStr">
        <is>
          <t>Всего по объекту в сопоставимом уровне цен 2 кв. 2018 г. :</t>
        </is>
      </c>
      <c r="C14" s="436" t="n"/>
      <c r="D14" s="436" t="n"/>
      <c r="E14" s="437" t="n"/>
      <c r="F14" s="319" t="n"/>
      <c r="G14" s="319">
        <f>G13</f>
        <v/>
      </c>
      <c r="H14" s="319" t="n"/>
      <c r="I14" s="319" t="n"/>
      <c r="J14" s="319">
        <f>SUM(F14:I14)</f>
        <v/>
      </c>
      <c r="K14" s="325" t="n"/>
      <c r="L14" s="317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20" t="inlineStr">
        <is>
          <t>Составил ______________________     А.Р. Маркова</t>
        </is>
      </c>
      <c r="D18" s="321" t="n"/>
      <c r="E18" s="321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22" t="inlineStr">
        <is>
          <t xml:space="preserve">                         (подпись, инициалы, фамилия)</t>
        </is>
      </c>
      <c r="D19" s="321" t="n"/>
      <c r="E19" s="321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20" t="n"/>
      <c r="D20" s="321" t="n"/>
      <c r="E20" s="321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20" t="inlineStr">
        <is>
          <t>Проверил ______________________        А.В. Костянецкая</t>
        </is>
      </c>
      <c r="D21" s="321" t="n"/>
      <c r="E21" s="321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22" t="inlineStr">
        <is>
          <t xml:space="preserve">                        (подпись, инициалы, фамилия)</t>
        </is>
      </c>
      <c r="D22" s="321" t="n"/>
      <c r="E22" s="321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85" workbookViewId="0">
      <selection activeCell="D31" sqref="D31"/>
    </sheetView>
  </sheetViews>
  <sheetFormatPr baseColWidth="8" defaultColWidth="9.109375" defaultRowHeight="15.6"/>
  <cols>
    <col width="9.109375" customWidth="1" style="325" min="1" max="1"/>
    <col width="12.6640625" customWidth="1" style="325" min="2" max="2"/>
    <col width="22.332031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3">
      <c r="A4" s="261" t="n"/>
      <c r="B4" s="261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2" t="inlineStr">
        <is>
          <t>Наименование разрабатываемого показателя УНЦ -  КЛ 220 кВ (с алюминиевой жилой) сечение жилы 800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3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23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232">
      <c r="A11" s="359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58" t="n"/>
      <c r="H11" s="441">
        <f>SUM(H12:H12)</f>
        <v/>
      </c>
    </row>
    <row r="12">
      <c r="A12" s="390" t="n">
        <v>1</v>
      </c>
      <c r="B12" s="235" t="n"/>
      <c r="C12" s="267" t="inlineStr">
        <is>
          <t>1-4-0</t>
        </is>
      </c>
      <c r="D12" s="271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69" t="n">
        <v>1028.5</v>
      </c>
      <c r="G12" s="442" t="n">
        <v>9.619999999999999</v>
      </c>
      <c r="H12" s="282">
        <f>ROUND(F12*G12,2)</f>
        <v/>
      </c>
      <c r="M12" s="443" t="n"/>
    </row>
    <row r="13">
      <c r="A13" s="358" t="inlineStr">
        <is>
          <t>Затраты труда машинистов</t>
        </is>
      </c>
      <c r="B13" s="436" t="n"/>
      <c r="C13" s="436" t="n"/>
      <c r="D13" s="436" t="n"/>
      <c r="E13" s="437" t="n"/>
      <c r="F13" s="359" t="n"/>
      <c r="G13" s="233" t="n"/>
      <c r="H13" s="441">
        <f>H14</f>
        <v/>
      </c>
    </row>
    <row r="14">
      <c r="A14" s="390" t="n">
        <v>2</v>
      </c>
      <c r="B14" s="360" t="n"/>
      <c r="C14" s="270" t="n">
        <v>2</v>
      </c>
      <c r="D14" s="271" t="inlineStr">
        <is>
          <t>Затраты труда машинистов</t>
        </is>
      </c>
      <c r="E14" s="390" t="inlineStr">
        <is>
          <t>чел.-ч</t>
        </is>
      </c>
      <c r="F14" s="390" t="n">
        <v>75.5</v>
      </c>
      <c r="G14" s="254" t="n"/>
      <c r="H14" s="444" t="n">
        <v>887.7</v>
      </c>
    </row>
    <row r="15" customFormat="1" s="232">
      <c r="A15" s="359" t="inlineStr">
        <is>
          <t>Машины и механизмы</t>
        </is>
      </c>
      <c r="B15" s="436" t="n"/>
      <c r="C15" s="436" t="n"/>
      <c r="D15" s="436" t="n"/>
      <c r="E15" s="437" t="n"/>
      <c r="F15" s="359" t="n"/>
      <c r="G15" s="233" t="n"/>
      <c r="H15" s="441">
        <f>SUM(H16:H25)</f>
        <v/>
      </c>
    </row>
    <row r="16" ht="25.5" customHeight="1" s="323">
      <c r="A16" s="390" t="n">
        <v>3</v>
      </c>
      <c r="B16" s="360" t="n"/>
      <c r="C16" s="270" t="inlineStr">
        <is>
          <t>91.05.05-018</t>
        </is>
      </c>
      <c r="D16" s="271" t="inlineStr">
        <is>
          <t>Краны на автомобильном ходу, грузоподъемность 63 т</t>
        </is>
      </c>
      <c r="E16" s="390" t="inlineStr">
        <is>
          <t>маш.час</t>
        </is>
      </c>
      <c r="F16" s="390" t="n">
        <v>14.5</v>
      </c>
      <c r="G16" s="273" t="n">
        <v>823.23</v>
      </c>
      <c r="H16" s="282">
        <f>ROUND(F16*G16,2)</f>
        <v/>
      </c>
      <c r="I16" s="287" t="n"/>
      <c r="J16" s="287" t="n"/>
      <c r="L16" s="287" t="n"/>
    </row>
    <row r="17" ht="25.5" customFormat="1" customHeight="1" s="232">
      <c r="A17" s="390" t="n">
        <v>4</v>
      </c>
      <c r="B17" s="360" t="n"/>
      <c r="C17" s="270" t="inlineStr">
        <is>
          <t>91.06.03-012</t>
        </is>
      </c>
      <c r="D17" s="271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25</v>
      </c>
      <c r="G17" s="273" t="n">
        <v>244.95</v>
      </c>
      <c r="H17" s="282">
        <f>ROUND(F17*G17,2)</f>
        <v/>
      </c>
      <c r="I17" s="287" t="n"/>
      <c r="J17" s="287" t="n"/>
      <c r="K17" s="288" t="n"/>
      <c r="L17" s="287" t="n"/>
    </row>
    <row r="18">
      <c r="A18" s="390" t="n">
        <v>5</v>
      </c>
      <c r="B18" s="360" t="n"/>
      <c r="C18" s="270" t="inlineStr">
        <is>
          <t>91.14.04-003</t>
        </is>
      </c>
      <c r="D18" s="271" t="inlineStr">
        <is>
          <t>Тягачи седельные, грузоподъемность 30 т</t>
        </is>
      </c>
      <c r="E18" s="390" t="inlineStr">
        <is>
          <t>маш.час</t>
        </is>
      </c>
      <c r="F18" s="390" t="n">
        <v>12</v>
      </c>
      <c r="G18" s="273" t="n">
        <v>120.31</v>
      </c>
      <c r="H18" s="282">
        <f>ROUND(F18*G18,2)</f>
        <v/>
      </c>
      <c r="I18" s="287" t="n"/>
      <c r="J18" s="287" t="n"/>
      <c r="L18" s="287" t="n"/>
    </row>
    <row r="19" ht="25.5" customHeight="1" s="323">
      <c r="A19" s="390" t="n">
        <v>6</v>
      </c>
      <c r="B19" s="360" t="n"/>
      <c r="C19" s="270" t="inlineStr">
        <is>
          <t>91.05.13-001</t>
        </is>
      </c>
      <c r="D19" s="271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1.5</v>
      </c>
      <c r="G19" s="273" t="n">
        <v>288.03</v>
      </c>
      <c r="H19" s="282">
        <f>ROUND(F19*G19,2)</f>
        <v/>
      </c>
      <c r="I19" s="287" t="n"/>
      <c r="J19" s="287" t="n"/>
      <c r="L19" s="287" t="n"/>
    </row>
    <row r="20" ht="25.5" customHeight="1" s="323">
      <c r="A20" s="390" t="n">
        <v>7</v>
      </c>
      <c r="B20" s="360" t="n"/>
      <c r="C20" s="270" t="inlineStr">
        <is>
          <t>91.11.01-021</t>
        </is>
      </c>
      <c r="D20" s="271" t="inlineStr">
        <is>
          <t>Устройства подталкивающие для протяжки кабеля, тяговое усилие 800 кг</t>
        </is>
      </c>
      <c r="E20" s="390" t="inlineStr">
        <is>
          <t>маш.час</t>
        </is>
      </c>
      <c r="F20" s="390" t="n">
        <v>16.8</v>
      </c>
      <c r="G20" s="273" t="n">
        <v>25.37</v>
      </c>
      <c r="H20" s="282">
        <f>ROUND(F20*G20,2)</f>
        <v/>
      </c>
      <c r="I20" s="287" t="n"/>
      <c r="J20" s="287" t="n"/>
      <c r="L20" s="287" t="n"/>
    </row>
    <row r="21">
      <c r="A21" s="390" t="n">
        <v>8</v>
      </c>
      <c r="B21" s="360" t="n"/>
      <c r="C21" s="270" t="inlineStr">
        <is>
          <t>91.14.05-002</t>
        </is>
      </c>
      <c r="D21" s="271" t="inlineStr">
        <is>
          <t>Полуприцепы-тяжеловозы, грузоподъемность 40 т</t>
        </is>
      </c>
      <c r="E21" s="390" t="inlineStr">
        <is>
          <t>маш.час</t>
        </is>
      </c>
      <c r="F21" s="390" t="n">
        <v>12</v>
      </c>
      <c r="G21" s="273" t="n">
        <v>28.65</v>
      </c>
      <c r="H21" s="282">
        <f>ROUND(F21*G21,2)</f>
        <v/>
      </c>
      <c r="I21" s="287" t="n"/>
      <c r="J21" s="287" t="n"/>
      <c r="L21" s="287" t="n"/>
    </row>
    <row r="22">
      <c r="A22" s="390" t="n">
        <v>9</v>
      </c>
      <c r="B22" s="360" t="n"/>
      <c r="C22" s="270" t="inlineStr">
        <is>
          <t>91.16.01-002</t>
        </is>
      </c>
      <c r="D22" s="271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8</v>
      </c>
      <c r="G22" s="273" t="n">
        <v>27.11</v>
      </c>
      <c r="H22" s="282">
        <f>ROUND(F22*G22,2)</f>
        <v/>
      </c>
      <c r="I22" s="287" t="n"/>
      <c r="J22" s="287" t="n"/>
    </row>
    <row r="23">
      <c r="A23" s="390" t="n">
        <v>10</v>
      </c>
      <c r="B23" s="360" t="n"/>
      <c r="C23" s="270" t="inlineStr">
        <is>
          <t>91.17.04-091</t>
        </is>
      </c>
      <c r="D23" s="271" t="inlineStr">
        <is>
          <t>Горелки газовые инжекторные</t>
        </is>
      </c>
      <c r="E23" s="390" t="inlineStr">
        <is>
          <t>маш.час</t>
        </is>
      </c>
      <c r="F23" s="390" t="n">
        <v>8</v>
      </c>
      <c r="G23" s="273" t="n">
        <v>13.5</v>
      </c>
      <c r="H23" s="282">
        <f>ROUND(F23*G23,2)</f>
        <v/>
      </c>
      <c r="J23" s="287" t="n"/>
    </row>
    <row r="24">
      <c r="A24" s="390" t="n">
        <v>11</v>
      </c>
      <c r="B24" s="360" t="n"/>
      <c r="C24" s="270" t="inlineStr">
        <is>
          <t>91.21.15-022</t>
        </is>
      </c>
      <c r="D24" s="271" t="inlineStr">
        <is>
          <t>Пилы ленточные с поворотной пилорамой</t>
        </is>
      </c>
      <c r="E24" s="390" t="inlineStr">
        <is>
          <t>маш.час</t>
        </is>
      </c>
      <c r="F24" s="390" t="n">
        <v>8</v>
      </c>
      <c r="G24" s="273" t="n">
        <v>3.31</v>
      </c>
      <c r="H24" s="282">
        <f>ROUND(F24*G24,2)</f>
        <v/>
      </c>
      <c r="J24" s="287" t="n"/>
    </row>
    <row r="25">
      <c r="A25" s="390" t="n">
        <v>12</v>
      </c>
      <c r="B25" s="360" t="n"/>
      <c r="C25" s="270" t="inlineStr">
        <is>
          <t>91.06.01-002</t>
        </is>
      </c>
      <c r="D25" s="271" t="inlineStr">
        <is>
          <t>Домкраты гидравлические, грузоподъемность 6,3-25 т</t>
        </is>
      </c>
      <c r="E25" s="390" t="inlineStr">
        <is>
          <t>маш.час</t>
        </is>
      </c>
      <c r="F25" s="390" t="n">
        <v>40.8</v>
      </c>
      <c r="G25" s="273" t="n">
        <v>0.48</v>
      </c>
      <c r="H25" s="282">
        <f>ROUND(F25*G25,2)</f>
        <v/>
      </c>
      <c r="J25" s="287" t="n"/>
    </row>
    <row r="26">
      <c r="A26" s="359" t="inlineStr">
        <is>
          <t>Материалы</t>
        </is>
      </c>
      <c r="B26" s="436" t="n"/>
      <c r="C26" s="436" t="n"/>
      <c r="D26" s="436" t="n"/>
      <c r="E26" s="437" t="n"/>
      <c r="F26" s="359" t="n"/>
      <c r="G26" s="233" t="n"/>
      <c r="H26" s="441">
        <f>SUM(H27:H28)</f>
        <v/>
      </c>
    </row>
    <row r="27">
      <c r="A27" s="280" t="n">
        <v>13</v>
      </c>
      <c r="B27" s="280" t="n"/>
      <c r="C27" s="390" t="inlineStr">
        <is>
          <t>Прайс из СД ОП</t>
        </is>
      </c>
      <c r="D27" s="277" t="inlineStr">
        <is>
          <t>Кабель алюминиевый 220кВ 3х800</t>
        </is>
      </c>
      <c r="E27" s="390" t="inlineStr">
        <is>
          <t>км</t>
        </is>
      </c>
      <c r="F27" s="390" t="n">
        <v>3.3</v>
      </c>
      <c r="G27" s="277" t="n">
        <v>1366517.78</v>
      </c>
      <c r="H27" s="282">
        <f>ROUND(F27*G27,2)</f>
        <v/>
      </c>
    </row>
    <row r="28">
      <c r="A28" s="280" t="n">
        <v>14</v>
      </c>
      <c r="B28" s="360" t="n"/>
      <c r="C28" s="270" t="inlineStr">
        <is>
          <t>01.3.02.09-0022</t>
        </is>
      </c>
      <c r="D28" s="271" t="inlineStr">
        <is>
          <t>Пропан-бутан смесь техническая</t>
        </is>
      </c>
      <c r="E28" s="390" t="inlineStr">
        <is>
          <t>кг</t>
        </is>
      </c>
      <c r="F28" s="390" t="n">
        <v>3.56</v>
      </c>
      <c r="G28" s="254" t="n">
        <v>6.09</v>
      </c>
      <c r="H28" s="282">
        <f>ROUND(F28*G28,2)</f>
        <v/>
      </c>
      <c r="I28" s="289" t="n"/>
      <c r="J28" s="287" t="n"/>
      <c r="K28" s="287" t="n"/>
    </row>
    <row r="31">
      <c r="B31" s="325" t="inlineStr">
        <is>
          <t>Составил ______________________     А.Р. Маркова</t>
        </is>
      </c>
    </row>
    <row r="32">
      <c r="B32" s="220" t="inlineStr">
        <is>
          <t xml:space="preserve">                         (подпись, инициалы, фамилия)</t>
        </is>
      </c>
    </row>
    <row r="34">
      <c r="B34" s="325" t="inlineStr">
        <is>
          <t>Проверил ______________________        А.В. Костянецкая</t>
        </is>
      </c>
    </row>
    <row r="35">
      <c r="B35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3" sqref="D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33203125" customWidth="1" style="323" min="6" max="6"/>
    <col width="14.33203125" customWidth="1" style="323" min="7" max="7"/>
    <col width="9.109375" customWidth="1" style="323" min="8" max="11"/>
    <col width="13.6640625" customWidth="1" style="323" min="12" max="12"/>
    <col width="9.109375" customWidth="1" style="32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8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5" t="inlineStr">
        <is>
          <t>Ресурсная модель</t>
        </is>
      </c>
    </row>
    <row r="6">
      <c r="B6" s="247" t="n"/>
      <c r="C6" s="320" t="n"/>
      <c r="D6" s="320" t="n"/>
      <c r="E6" s="320" t="n"/>
    </row>
    <row r="7" ht="25.5" customHeight="1" s="323">
      <c r="B7" s="364" t="inlineStr">
        <is>
          <t>Наименование разрабатываемого показателя УНЦ — КЛ 220 кВ (с алюминиевой жилой) сечение жилы 800 мм2</t>
        </is>
      </c>
    </row>
    <row r="8">
      <c r="B8" s="365" t="inlineStr">
        <is>
          <t>Единица измерения  — 1 км</t>
        </is>
      </c>
    </row>
    <row r="9">
      <c r="B9" s="247" t="n"/>
      <c r="C9" s="320" t="n"/>
      <c r="D9" s="320" t="n"/>
      <c r="E9" s="320" t="n"/>
    </row>
    <row r="10" ht="51" customHeight="1" s="32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1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1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1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1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1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1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1">
        <f>'Прил.5 Расчет СМР и ОБ'!J44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301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1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1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1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301">
        <f>C19+C20+C22</f>
        <v/>
      </c>
      <c r="D24" s="241">
        <f>C24/$C$24</f>
        <v/>
      </c>
      <c r="E24" s="241">
        <f>C24/$C$40</f>
        <v/>
      </c>
    </row>
    <row r="25" ht="25.5" customHeight="1" s="323">
      <c r="B25" s="239" t="inlineStr">
        <is>
          <t>ВСЕГО стоимость оборудования, в том числе</t>
        </is>
      </c>
      <c r="C25" s="301">
        <f>'Прил.5 Расчет СМР и ОБ'!J37</f>
        <v/>
      </c>
      <c r="D25" s="241" t="n"/>
      <c r="E25" s="241">
        <f>C25/$C$40</f>
        <v/>
      </c>
    </row>
    <row r="26" ht="25.5" customHeight="1" s="323">
      <c r="B26" s="239" t="inlineStr">
        <is>
          <t>стоимость оборудования технологического</t>
        </is>
      </c>
      <c r="C26" s="301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3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3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3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5" t="n">
        <v>0</v>
      </c>
      <c r="D31" s="239" t="n"/>
      <c r="E31" s="241">
        <f>C31/$C$40</f>
        <v/>
      </c>
    </row>
    <row r="32" ht="25.5" customHeight="1" s="323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3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3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89" t="n"/>
    </row>
    <row r="35" ht="76.65000000000001" customHeight="1" s="323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3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3">
      <c r="B38" s="239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39" t="n"/>
      <c r="E38" s="241">
        <f>C38/$C$40</f>
        <v/>
      </c>
    </row>
    <row r="39" ht="13.65" customHeight="1" s="323">
      <c r="B39" s="239" t="inlineStr">
        <is>
          <t>Непредвиденные расходы</t>
        </is>
      </c>
      <c r="C39" s="301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1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1">
        <f>C40/'Прил.5 Расчет СМР и ОБ'!E51</f>
        <v/>
      </c>
      <c r="D41" s="239" t="n"/>
      <c r="E41" s="239" t="n"/>
    </row>
    <row r="42">
      <c r="B42" s="303" t="n"/>
      <c r="C42" s="320" t="n"/>
      <c r="D42" s="320" t="n"/>
      <c r="E42" s="320" t="n"/>
    </row>
    <row r="43">
      <c r="B43" s="303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30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03" t="n"/>
      <c r="C45" s="320" t="n"/>
      <c r="D45" s="320" t="n"/>
      <c r="E45" s="320" t="n"/>
    </row>
    <row r="46">
      <c r="B46" s="30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65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6" zoomScale="85" workbookViewId="0">
      <selection activeCell="D53" sqref="D53"/>
    </sheetView>
  </sheetViews>
  <sheetFormatPr baseColWidth="8" defaultColWidth="9.109375" defaultRowHeight="14.4" outlineLevelRow="1"/>
  <cols>
    <col width="5.6640625" customWidth="1" style="321" min="1" max="1"/>
    <col width="22.664062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33203125" customWidth="1" style="321" min="7" max="7"/>
    <col width="12.6640625" customWidth="1" style="321" min="8" max="8"/>
    <col width="13.88671875" customWidth="1" style="321" min="9" max="9"/>
    <col width="17.6640625" customWidth="1" style="321" min="10" max="10"/>
    <col width="10.88671875" customWidth="1" style="321" min="11" max="11"/>
    <col width="9.109375" customWidth="1" style="321" min="12" max="12"/>
    <col width="9.109375" customWidth="1" style="323" min="13" max="13"/>
  </cols>
  <sheetData>
    <row r="1" s="32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321" t="n"/>
      <c r="C2" s="321" t="n"/>
      <c r="D2" s="321" t="n"/>
      <c r="E2" s="321" t="n"/>
      <c r="F2" s="321" t="n"/>
      <c r="G2" s="321" t="n"/>
      <c r="H2" s="366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5" t="inlineStr">
        <is>
          <t>Расчет стоимости СМР и оборудования</t>
        </is>
      </c>
    </row>
    <row r="5" ht="12.75" customFormat="1" customHeight="1" s="320">
      <c r="A5" s="345" t="n"/>
      <c r="B5" s="345" t="n"/>
      <c r="C5" s="392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20">
      <c r="A6" s="207" t="inlineStr">
        <is>
          <t>Наименование разрабатываемого показателя УНЦ</t>
        </is>
      </c>
      <c r="B6" s="206" t="n"/>
      <c r="C6" s="206" t="n"/>
      <c r="D6" s="372" t="inlineStr">
        <is>
          <t>КЛ 220 кВ (с алюминиевой жилой) сечение жилы 800 мм2</t>
        </is>
      </c>
    </row>
    <row r="7" ht="12.75" customFormat="1" customHeight="1" s="320">
      <c r="A7" s="348" t="inlineStr">
        <is>
          <t>Единица измерения  — 1 км</t>
        </is>
      </c>
      <c r="I7" s="364" t="n"/>
      <c r="J7" s="364" t="n"/>
    </row>
    <row r="8" ht="13.65" customFormat="1" customHeight="1" s="320">
      <c r="A8" s="348" t="n"/>
    </row>
    <row r="9" ht="13.2" customFormat="1" customHeight="1" s="320"/>
    <row r="10" ht="27" customHeight="1" s="323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21" t="n"/>
      <c r="L10" s="321" t="n"/>
      <c r="M10" s="321" t="n"/>
      <c r="N10" s="321" t="n"/>
    </row>
    <row r="11" ht="28.5" customHeight="1" s="323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21" t="n"/>
      <c r="L11" s="321" t="n"/>
      <c r="M11" s="321" t="n"/>
      <c r="N11" s="321" t="n"/>
    </row>
    <row r="12" s="323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21" t="n"/>
      <c r="L12" s="321" t="n"/>
      <c r="M12" s="321" t="n"/>
      <c r="N12" s="321" t="n"/>
    </row>
    <row r="13">
      <c r="A13" s="369" t="n"/>
      <c r="B13" s="358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3">
      <c r="A14" s="369" t="n">
        <v>1</v>
      </c>
      <c r="B14" s="267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4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1">
      <c r="A15" s="369" t="n"/>
      <c r="B15" s="369" t="n"/>
      <c r="C15" s="358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80" t="n">
        <v>1</v>
      </c>
      <c r="I15" s="194" t="n"/>
      <c r="J15" s="201">
        <f>SUM(J14:J14)</f>
        <v/>
      </c>
    </row>
    <row r="16" ht="14.25" customFormat="1" customHeight="1" s="321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21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6" t="n">
        <v>75.5</v>
      </c>
      <c r="F17" s="201">
        <f>G17/E17</f>
        <v/>
      </c>
      <c r="G17" s="201">
        <f>'Прил. 3'!H13</f>
        <v/>
      </c>
      <c r="H17" s="380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1">
      <c r="A18" s="369" t="n"/>
      <c r="B18" s="358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21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21">
      <c r="A20" s="369" t="n">
        <v>3</v>
      </c>
      <c r="B20" s="270" t="inlineStr">
        <is>
          <t>91.05.05-018</t>
        </is>
      </c>
      <c r="C20" s="271" t="inlineStr">
        <is>
          <t>Краны на автомобильном ходу, грузоподъемность 63 т</t>
        </is>
      </c>
      <c r="D20" s="390" t="inlineStr">
        <is>
          <t>маш.час</t>
        </is>
      </c>
      <c r="E20" s="447" t="n">
        <v>14.5</v>
      </c>
      <c r="F20" s="27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1">
      <c r="A21" s="369" t="n">
        <v>4</v>
      </c>
      <c r="B21" s="270" t="inlineStr">
        <is>
          <t>91.06.03-012</t>
        </is>
      </c>
      <c r="C21" s="271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7" t="n">
        <v>25</v>
      </c>
      <c r="F21" s="27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1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6" t="n"/>
      <c r="F22" s="201" t="n"/>
      <c r="G22" s="201">
        <f>SUM(G20:G21)</f>
        <v/>
      </c>
      <c r="H22" s="380">
        <f>G22/G32</f>
        <v/>
      </c>
      <c r="I22" s="195" t="n"/>
      <c r="J22" s="201">
        <f>SUM(J20:J21)</f>
        <v/>
      </c>
    </row>
    <row r="23" outlineLevel="1" ht="14.25" customFormat="1" customHeight="1" s="321">
      <c r="A23" s="369" t="n">
        <v>5</v>
      </c>
      <c r="B23" s="270" t="inlineStr">
        <is>
          <t>91.14.04-003</t>
        </is>
      </c>
      <c r="C23" s="271" t="inlineStr">
        <is>
          <t>Тягачи седельные, грузоподъемность 30 т</t>
        </is>
      </c>
      <c r="D23" s="390" t="inlineStr">
        <is>
          <t>маш.час</t>
        </is>
      </c>
      <c r="E23" s="447" t="n">
        <v>12</v>
      </c>
      <c r="F23" s="27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21">
      <c r="A24" s="369" t="n">
        <v>6</v>
      </c>
      <c r="B24" s="270" t="inlineStr">
        <is>
          <t>91.05.13-001</t>
        </is>
      </c>
      <c r="C24" s="271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7" t="n">
        <v>1.5</v>
      </c>
      <c r="F24" s="27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21">
      <c r="A25" s="369" t="n">
        <v>7</v>
      </c>
      <c r="B25" s="270" t="inlineStr">
        <is>
          <t>91.11.01-021</t>
        </is>
      </c>
      <c r="C25" s="271" t="inlineStr">
        <is>
          <t>Устройства подталкивающие для протяжки кабеля, тяговое усилие 800 кг</t>
        </is>
      </c>
      <c r="D25" s="390" t="inlineStr">
        <is>
          <t>маш.час</t>
        </is>
      </c>
      <c r="E25" s="447" t="n">
        <v>16.8</v>
      </c>
      <c r="F25" s="27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21">
      <c r="A26" s="369" t="n">
        <v>8</v>
      </c>
      <c r="B26" s="270" t="inlineStr">
        <is>
          <t>91.14.05-002</t>
        </is>
      </c>
      <c r="C26" s="271" t="inlineStr">
        <is>
          <t>Полуприцепы-тяжеловозы, грузоподъемность 40 т</t>
        </is>
      </c>
      <c r="D26" s="390" t="inlineStr">
        <is>
          <t>маш.час</t>
        </is>
      </c>
      <c r="E26" s="447" t="n">
        <v>12</v>
      </c>
      <c r="F26" s="27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21">
      <c r="A27" s="369" t="n">
        <v>9</v>
      </c>
      <c r="B27" s="270" t="inlineStr">
        <is>
          <t>91.16.01-002</t>
        </is>
      </c>
      <c r="C27" s="271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7" t="n">
        <v>8</v>
      </c>
      <c r="F27" s="27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21">
      <c r="A28" s="369" t="n">
        <v>10</v>
      </c>
      <c r="B28" s="270" t="inlineStr">
        <is>
          <t>91.17.04-091</t>
        </is>
      </c>
      <c r="C28" s="271" t="inlineStr">
        <is>
          <t>Горелки газовые инжекторные</t>
        </is>
      </c>
      <c r="D28" s="390" t="inlineStr">
        <is>
          <t>маш.час</t>
        </is>
      </c>
      <c r="E28" s="447" t="n">
        <v>8</v>
      </c>
      <c r="F28" s="27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21">
      <c r="A29" s="369" t="n">
        <v>11</v>
      </c>
      <c r="B29" s="270" t="inlineStr">
        <is>
          <t>91.21.15-022</t>
        </is>
      </c>
      <c r="C29" s="271" t="inlineStr">
        <is>
          <t>Пилы ленточные с поворотной пилорамой</t>
        </is>
      </c>
      <c r="D29" s="390" t="inlineStr">
        <is>
          <t>маш.час</t>
        </is>
      </c>
      <c r="E29" s="447" t="n">
        <v>8</v>
      </c>
      <c r="F29" s="27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21">
      <c r="A30" s="369" t="n">
        <v>12</v>
      </c>
      <c r="B30" s="270" t="inlineStr">
        <is>
          <t>91.06.01-002</t>
        </is>
      </c>
      <c r="C30" s="271" t="inlineStr">
        <is>
          <t>Домкраты гидравлические, грузоподъемность 6,3-25 т</t>
        </is>
      </c>
      <c r="D30" s="390" t="inlineStr">
        <is>
          <t>маш.час</t>
        </is>
      </c>
      <c r="E30" s="447" t="n">
        <v>40.8</v>
      </c>
      <c r="F30" s="27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21">
      <c r="A31" s="369" t="n"/>
      <c r="B31" s="369" t="n"/>
      <c r="C31" s="377" t="inlineStr">
        <is>
          <t>Итого прочие машины и механизмы</t>
        </is>
      </c>
      <c r="D31" s="369" t="n"/>
      <c r="E31" s="378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21">
      <c r="A32" s="369" t="n"/>
      <c r="B32" s="369" t="n"/>
      <c r="C32" s="358" t="inlineStr">
        <is>
          <t>Итого по разделу «Машины и механизмы»</t>
        </is>
      </c>
      <c r="D32" s="369" t="n"/>
      <c r="E32" s="378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21">
      <c r="A33" s="369" t="n"/>
      <c r="B33" s="358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69" t="n"/>
      <c r="B34" s="377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21" t="n"/>
      <c r="L34" s="321" t="n"/>
    </row>
    <row r="35">
      <c r="A35" s="369" t="n"/>
      <c r="B35" s="369" t="n"/>
      <c r="C35" s="377" t="inlineStr">
        <is>
          <t>Итого основное оборудование</t>
        </is>
      </c>
      <c r="D35" s="369" t="n"/>
      <c r="E35" s="448" t="n"/>
      <c r="F35" s="379" t="n"/>
      <c r="G35" s="201" t="n">
        <v>0</v>
      </c>
      <c r="H35" s="203" t="n">
        <v>0</v>
      </c>
      <c r="I35" s="195" t="n"/>
      <c r="J35" s="201" t="n">
        <v>0</v>
      </c>
      <c r="K35" s="321" t="n"/>
      <c r="L35" s="321" t="n"/>
    </row>
    <row r="36">
      <c r="A36" s="369" t="n"/>
      <c r="B36" s="369" t="n"/>
      <c r="C36" s="377" t="inlineStr">
        <is>
          <t>Итого прочее оборудование</t>
        </is>
      </c>
      <c r="D36" s="369" t="n"/>
      <c r="E36" s="446" t="n"/>
      <c r="F36" s="379" t="n"/>
      <c r="G36" s="201" t="n">
        <v>0</v>
      </c>
      <c r="H36" s="203" t="n">
        <v>0</v>
      </c>
      <c r="I36" s="195" t="n"/>
      <c r="J36" s="201" t="n">
        <v>0</v>
      </c>
      <c r="K36" s="321" t="n"/>
      <c r="L36" s="321" t="n"/>
    </row>
    <row r="37">
      <c r="A37" s="369" t="n"/>
      <c r="B37" s="369" t="n"/>
      <c r="C37" s="358" t="inlineStr">
        <is>
          <t>Итого по разделу «Оборудование»</t>
        </is>
      </c>
      <c r="D37" s="369" t="n"/>
      <c r="E37" s="378" t="n"/>
      <c r="F37" s="379" t="n"/>
      <c r="G37" s="201">
        <f>G35+G36</f>
        <v/>
      </c>
      <c r="H37" s="203" t="n">
        <v>0</v>
      </c>
      <c r="I37" s="195" t="n"/>
      <c r="J37" s="201">
        <f>J36+J35</f>
        <v/>
      </c>
      <c r="K37" s="321" t="n"/>
      <c r="L37" s="321" t="n"/>
    </row>
    <row r="38" ht="25.5" customHeight="1" s="323">
      <c r="A38" s="369" t="n"/>
      <c r="B38" s="369" t="n"/>
      <c r="C38" s="377" t="inlineStr">
        <is>
          <t>в том числе технологическое оборудование</t>
        </is>
      </c>
      <c r="D38" s="369" t="n"/>
      <c r="E38" s="448" t="n"/>
      <c r="F38" s="379" t="n"/>
      <c r="G38" s="201">
        <f>'Прил.6 Расчет ОБ'!G12</f>
        <v/>
      </c>
      <c r="H38" s="380" t="n"/>
      <c r="I38" s="195" t="n"/>
      <c r="J38" s="201">
        <f>J37</f>
        <v/>
      </c>
      <c r="K38" s="321" t="n"/>
      <c r="L38" s="321" t="n"/>
    </row>
    <row r="39" ht="14.25" customFormat="1" customHeight="1" s="321">
      <c r="A39" s="369" t="n"/>
      <c r="B39" s="358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21">
      <c r="A40" s="370" t="n"/>
      <c r="B40" s="373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09" t="n"/>
      <c r="J40" s="209" t="n"/>
    </row>
    <row r="41" ht="14.25" customFormat="1" customHeight="1" s="321">
      <c r="A41" s="369" t="n">
        <v>13</v>
      </c>
      <c r="B41" s="369" t="inlineStr">
        <is>
          <t>БЦ.81.617</t>
        </is>
      </c>
      <c r="C41" s="271" t="inlineStr">
        <is>
          <t>Кабель алюминиевый 220кВ 3х800</t>
        </is>
      </c>
      <c r="D41" s="369" t="inlineStr">
        <is>
          <t>км</t>
        </is>
      </c>
      <c r="E41" s="448">
        <f>1*3.3</f>
        <v/>
      </c>
      <c r="F41" s="379">
        <f>ROUND(I41/'Прил. 10'!$D$13,2)</f>
        <v/>
      </c>
      <c r="G41" s="201">
        <f>ROUND(E41*F41,2)</f>
        <v/>
      </c>
      <c r="H41" s="203">
        <f>G41/$G$45</f>
        <v/>
      </c>
      <c r="I41" s="201" t="n">
        <v>7074307.82</v>
      </c>
      <c r="J41" s="201">
        <f>ROUND(I41*E41,2)</f>
        <v/>
      </c>
    </row>
    <row r="42" ht="14.25" customFormat="1" customHeight="1" s="321">
      <c r="A42" s="371" t="n"/>
      <c r="B42" s="211" t="n"/>
      <c r="C42" s="212" t="inlineStr">
        <is>
          <t>Итого основные материалы</t>
        </is>
      </c>
      <c r="D42" s="371" t="n"/>
      <c r="E42" s="451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21">
      <c r="A43" s="369" t="n">
        <v>14</v>
      </c>
      <c r="B43" s="270" t="inlineStr">
        <is>
          <t>01.3.02.09-0022</t>
        </is>
      </c>
      <c r="C43" s="271" t="inlineStr">
        <is>
          <t>Пропан-бутан смесь техническая</t>
        </is>
      </c>
      <c r="D43" s="390" t="inlineStr">
        <is>
          <t>кг</t>
        </is>
      </c>
      <c r="E43" s="447" t="n">
        <v>3.56</v>
      </c>
      <c r="F43" s="25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21">
      <c r="A44" s="369" t="n"/>
      <c r="B44" s="369" t="n"/>
      <c r="C44" s="377" t="inlineStr">
        <is>
          <t>Итого прочие материалы</t>
        </is>
      </c>
      <c r="D44" s="369" t="n"/>
      <c r="E44" s="448" t="n"/>
      <c r="F44" s="379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21">
      <c r="A45" s="369" t="n"/>
      <c r="B45" s="369" t="n"/>
      <c r="C45" s="358" t="inlineStr">
        <is>
          <t>Итого по разделу «Материалы»</t>
        </is>
      </c>
      <c r="D45" s="369" t="n"/>
      <c r="E45" s="378" t="n"/>
      <c r="F45" s="379" t="n"/>
      <c r="G45" s="201">
        <f>G42+G44</f>
        <v/>
      </c>
      <c r="H45" s="380">
        <f>G45/$G$45</f>
        <v/>
      </c>
      <c r="I45" s="201" t="n"/>
      <c r="J45" s="201">
        <f>J42+J44</f>
        <v/>
      </c>
    </row>
    <row r="46" ht="14.25" customFormat="1" customHeight="1" s="321">
      <c r="A46" s="369" t="n"/>
      <c r="B46" s="369" t="n"/>
      <c r="C46" s="377" t="inlineStr">
        <is>
          <t>ИТОГО ПО РМ</t>
        </is>
      </c>
      <c r="D46" s="369" t="n"/>
      <c r="E46" s="378" t="n"/>
      <c r="F46" s="379" t="n"/>
      <c r="G46" s="201">
        <f>G15+G32+G45</f>
        <v/>
      </c>
      <c r="H46" s="380" t="n"/>
      <c r="I46" s="201" t="n"/>
      <c r="J46" s="201">
        <f>J15+J32+J45</f>
        <v/>
      </c>
    </row>
    <row r="47" ht="14.25" customFormat="1" customHeight="1" s="321">
      <c r="A47" s="369" t="n"/>
      <c r="B47" s="369" t="n"/>
      <c r="C47" s="377" t="inlineStr">
        <is>
          <t>Накладные расходы</t>
        </is>
      </c>
      <c r="D47" s="197">
        <f>ROUND(G47/(G$17+$G$15),2)</f>
        <v/>
      </c>
      <c r="E47" s="378" t="n"/>
      <c r="F47" s="379" t="n"/>
      <c r="G47" s="201" t="n">
        <v>10458.44</v>
      </c>
      <c r="H47" s="380" t="n"/>
      <c r="I47" s="201" t="n"/>
      <c r="J47" s="201">
        <f>ROUND(D47*(J15+J17),2)</f>
        <v/>
      </c>
    </row>
    <row r="48" ht="14.25" customFormat="1" customHeight="1" s="321">
      <c r="A48" s="369" t="n"/>
      <c r="B48" s="369" t="n"/>
      <c r="C48" s="377" t="inlineStr">
        <is>
          <t>Сметная прибыль</t>
        </is>
      </c>
      <c r="D48" s="197">
        <f>ROUND(G48/(G$15+G$17),2)</f>
        <v/>
      </c>
      <c r="E48" s="378" t="n"/>
      <c r="F48" s="379" t="n"/>
      <c r="G48" s="201" t="n">
        <v>5498.77</v>
      </c>
      <c r="H48" s="380" t="n"/>
      <c r="I48" s="201" t="n"/>
      <c r="J48" s="201">
        <f>ROUND(D48*(J15+J17),2)</f>
        <v/>
      </c>
    </row>
    <row r="49" ht="14.25" customFormat="1" customHeight="1" s="321">
      <c r="A49" s="369" t="n"/>
      <c r="B49" s="369" t="n"/>
      <c r="C49" s="377" t="inlineStr">
        <is>
          <t>Итого СМР (с НР и СП)</t>
        </is>
      </c>
      <c r="D49" s="369" t="n"/>
      <c r="E49" s="378" t="n"/>
      <c r="F49" s="379" t="n"/>
      <c r="G49" s="201">
        <f>G15+G32+G45+G47+G48</f>
        <v/>
      </c>
      <c r="H49" s="380" t="n"/>
      <c r="I49" s="201" t="n"/>
      <c r="J49" s="201">
        <f>J15+J32+J45+J47+J48</f>
        <v/>
      </c>
    </row>
    <row r="50" ht="14.25" customFormat="1" customHeight="1" s="321">
      <c r="A50" s="369" t="n"/>
      <c r="B50" s="369" t="n"/>
      <c r="C50" s="377" t="inlineStr">
        <is>
          <t>ВСЕГО СМР + ОБОРУДОВАНИЕ</t>
        </is>
      </c>
      <c r="D50" s="369" t="n"/>
      <c r="E50" s="378" t="n"/>
      <c r="F50" s="379" t="n"/>
      <c r="G50" s="201">
        <f>G49+G37</f>
        <v/>
      </c>
      <c r="H50" s="380" t="n"/>
      <c r="I50" s="201" t="n"/>
      <c r="J50" s="201">
        <f>J49+J37</f>
        <v/>
      </c>
    </row>
    <row r="51" ht="34.5" customFormat="1" customHeight="1" s="321">
      <c r="A51" s="369" t="n"/>
      <c r="B51" s="369" t="n"/>
      <c r="C51" s="377" t="inlineStr">
        <is>
          <t>ИТОГО ПОКАЗАТЕЛЬ НА ЕД. ИЗМ.</t>
        </is>
      </c>
      <c r="D51" s="369" t="inlineStr">
        <is>
          <t>1 км</t>
        </is>
      </c>
      <c r="E51" s="448" t="n">
        <v>1</v>
      </c>
      <c r="F51" s="379" t="n"/>
      <c r="G51" s="201">
        <f>G50/E51</f>
        <v/>
      </c>
      <c r="H51" s="380" t="n"/>
      <c r="I51" s="201" t="n"/>
      <c r="J51" s="201">
        <f>J50/E51</f>
        <v/>
      </c>
    </row>
    <row r="53" ht="14.25" customFormat="1" customHeight="1" s="321">
      <c r="A53" s="320" t="inlineStr">
        <is>
          <t>Составил ______________________    А.Р. Маркова</t>
        </is>
      </c>
    </row>
    <row r="54" ht="14.25" customFormat="1" customHeight="1" s="321">
      <c r="A54" s="322" t="inlineStr">
        <is>
          <t xml:space="preserve">                         (подпись, инициалы, фамилия)</t>
        </is>
      </c>
    </row>
    <row r="55" ht="14.25" customFormat="1" customHeight="1" s="321">
      <c r="A55" s="320" t="n"/>
    </row>
    <row r="56" ht="14.25" customFormat="1" customHeight="1" s="321">
      <c r="A56" s="320" t="inlineStr">
        <is>
          <t>Проверил ______________________        А.В. Костянецкая</t>
        </is>
      </c>
    </row>
    <row r="57" ht="14.25" customFormat="1" customHeight="1" s="321">
      <c r="A57" s="32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" sqref="A1:G1"/>
    </sheetView>
  </sheetViews>
  <sheetFormatPr baseColWidth="8" defaultRowHeight="14.4"/>
  <cols>
    <col width="5.6640625" customWidth="1" style="323" min="1" max="1"/>
    <col width="17.664062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5" t="inlineStr">
        <is>
          <t>Приложение №6</t>
        </is>
      </c>
    </row>
    <row r="2" ht="21.75" customHeight="1" s="323">
      <c r="A2" s="385" t="n"/>
      <c r="B2" s="385" t="n"/>
      <c r="C2" s="385" t="n"/>
      <c r="D2" s="385" t="n"/>
      <c r="E2" s="385" t="n"/>
      <c r="F2" s="385" t="n"/>
      <c r="G2" s="385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КЛ 220 кВ (с алюминиевой жилой) сечение жилы 800 мм2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.15" customHeight="1" s="323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3">
      <c r="A9" s="239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3">
      <c r="A10" s="369" t="n"/>
      <c r="B10" s="358" t="n"/>
      <c r="C10" s="377" t="inlineStr">
        <is>
          <t>ИТОГО ИНЖЕНЕРНОЕ ОБОРУДОВАНИЕ</t>
        </is>
      </c>
      <c r="D10" s="358" t="n"/>
      <c r="E10" s="142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3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1" t="n">
        <v>0</v>
      </c>
    </row>
    <row r="13" ht="19.5" customHeight="1" s="323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1">
        <f>G10+G12</f>
        <v/>
      </c>
    </row>
    <row r="14">
      <c r="A14" s="304" t="n"/>
      <c r="B14" s="305" t="n"/>
      <c r="C14" s="304" t="n"/>
      <c r="D14" s="304" t="n"/>
      <c r="E14" s="304" t="n"/>
      <c r="F14" s="304" t="n"/>
      <c r="G14" s="304" t="n"/>
    </row>
    <row r="15">
      <c r="A15" s="320" t="inlineStr">
        <is>
          <t>Составил ______________________    А.Р. Маркова</t>
        </is>
      </c>
      <c r="B15" s="321" t="n"/>
      <c r="C15" s="321" t="n"/>
      <c r="D15" s="304" t="n"/>
      <c r="E15" s="304" t="n"/>
      <c r="F15" s="304" t="n"/>
      <c r="G15" s="304" t="n"/>
    </row>
    <row r="16">
      <c r="A16" s="322" t="inlineStr">
        <is>
          <t xml:space="preserve">                         (подпись, инициалы, фамилия)</t>
        </is>
      </c>
      <c r="B16" s="321" t="n"/>
      <c r="C16" s="321" t="n"/>
      <c r="D16" s="304" t="n"/>
      <c r="E16" s="304" t="n"/>
      <c r="F16" s="304" t="n"/>
      <c r="G16" s="304" t="n"/>
    </row>
    <row r="17">
      <c r="A17" s="320" t="n"/>
      <c r="B17" s="321" t="n"/>
      <c r="C17" s="321" t="n"/>
      <c r="D17" s="304" t="n"/>
      <c r="E17" s="304" t="n"/>
      <c r="F17" s="304" t="n"/>
      <c r="G17" s="304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04" t="n"/>
      <c r="E18" s="304" t="n"/>
      <c r="F18" s="304" t="n"/>
      <c r="G18" s="304" t="n"/>
    </row>
    <row r="19">
      <c r="A19" s="322" t="inlineStr">
        <is>
          <t xml:space="preserve">                        (подпись, инициалы, фамилия)</t>
        </is>
      </c>
      <c r="B19" s="321" t="n"/>
      <c r="C19" s="321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3" sqref="C13"/>
    </sheetView>
  </sheetViews>
  <sheetFormatPr baseColWidth="8" defaultColWidth="8.88671875" defaultRowHeight="14.4"/>
  <cols>
    <col width="14.44140625" customWidth="1" style="323" min="1" max="1"/>
    <col width="29.6640625" customWidth="1" style="323" min="2" max="2"/>
    <col width="39.109375" customWidth="1" style="323" min="3" max="3"/>
    <col width="48.109375" customWidth="1" style="323" min="4" max="4"/>
    <col width="8.88671875" customWidth="1" style="323" min="5" max="5"/>
  </cols>
  <sheetData>
    <row r="1">
      <c r="B1" s="320" t="n"/>
      <c r="C1" s="320" t="n"/>
      <c r="D1" s="385" t="inlineStr">
        <is>
          <t>Приложение №7</t>
        </is>
      </c>
    </row>
    <row r="2" ht="25.95" customHeight="1" s="323">
      <c r="A2" s="385" t="n"/>
      <c r="B2" s="385" t="n"/>
      <c r="C2" s="385" t="n"/>
      <c r="D2" s="385" t="n"/>
    </row>
    <row r="3" ht="24.75" customHeight="1" s="323">
      <c r="A3" s="345" t="inlineStr">
        <is>
          <t>Расчет показателя УНЦ</t>
        </is>
      </c>
    </row>
    <row r="4" ht="24.75" customHeight="1" s="323">
      <c r="A4" s="345" t="n"/>
      <c r="B4" s="345" t="n"/>
      <c r="C4" s="345" t="n"/>
      <c r="D4" s="345" t="n"/>
    </row>
    <row r="5" ht="24.6" customHeight="1" s="323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5" customHeight="1" s="323">
      <c r="A6" s="348" t="inlineStr">
        <is>
          <t>Единица измерения  — 1 км</t>
        </is>
      </c>
      <c r="D6" s="348" t="n"/>
    </row>
    <row r="7">
      <c r="A7" s="320" t="n"/>
      <c r="B7" s="320" t="n"/>
      <c r="C7" s="320" t="n"/>
      <c r="D7" s="320" t="n"/>
    </row>
    <row r="8" ht="14.4" customHeight="1" s="323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3">
      <c r="A9" s="439" t="n"/>
      <c r="B9" s="439" t="n"/>
      <c r="C9" s="439" t="n"/>
      <c r="D9" s="439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23">
      <c r="A11" s="369" t="inlineStr">
        <is>
          <t>К1-13-6</t>
        </is>
      </c>
      <c r="B11" s="369" t="inlineStr">
        <is>
          <t>УНЦ КЛ 6-500 кВ (с алюминиевой жилой)</t>
        </is>
      </c>
      <c r="C11" s="301">
        <f>D5</f>
        <v/>
      </c>
      <c r="D11" s="302">
        <f>'Прил.4 РМ'!C41/1000</f>
        <v/>
      </c>
      <c r="E11" s="303" t="n"/>
    </row>
    <row r="12">
      <c r="A12" s="304" t="n"/>
      <c r="B12" s="305" t="n"/>
      <c r="C12" s="304" t="n"/>
      <c r="D12" s="304" t="n"/>
    </row>
    <row r="13">
      <c r="A13" s="320" t="inlineStr">
        <is>
          <t>Составил ______________________      А.Р. Маркова</t>
        </is>
      </c>
      <c r="B13" s="321" t="n"/>
      <c r="C13" s="321" t="n"/>
      <c r="D13" s="304" t="n"/>
    </row>
    <row r="14">
      <c r="A14" s="322" t="inlineStr">
        <is>
          <t xml:space="preserve">                         (подпись, инициалы, фамилия)</t>
        </is>
      </c>
      <c r="B14" s="321" t="n"/>
      <c r="C14" s="321" t="n"/>
      <c r="D14" s="304" t="n"/>
    </row>
    <row r="15">
      <c r="A15" s="320" t="n"/>
      <c r="B15" s="321" t="n"/>
      <c r="C15" s="321" t="n"/>
      <c r="D15" s="304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04" t="n"/>
    </row>
    <row r="17">
      <c r="A17" s="322" t="inlineStr">
        <is>
          <t xml:space="preserve">                        (подпись, инициалы, фамилия)</t>
        </is>
      </c>
      <c r="B17" s="321" t="n"/>
      <c r="C17" s="321" t="n"/>
      <c r="D17" s="3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2" t="inlineStr">
        <is>
          <t>Приложение № 10</t>
        </is>
      </c>
    </row>
    <row r="5" ht="18.75" customHeight="1" s="323">
      <c r="B5" s="166" t="n"/>
    </row>
    <row r="6" ht="15.75" customHeight="1" s="323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3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3">
      <c r="B10" s="357" t="n">
        <v>1</v>
      </c>
      <c r="C10" s="357" t="n">
        <v>2</v>
      </c>
      <c r="D10" s="357" t="n">
        <v>3</v>
      </c>
    </row>
    <row r="11" ht="45" customHeight="1" s="323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3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3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3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23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3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3">
      <c r="B17" s="357" t="inlineStr">
        <is>
          <t>Пусконаладочные работы*</t>
        </is>
      </c>
      <c r="C17" s="357" t="n"/>
      <c r="D17" s="169" t="inlineStr">
        <is>
          <t>Расчет</t>
        </is>
      </c>
    </row>
    <row r="18" ht="31.65" customHeight="1" s="323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3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69" t="n">
        <v>0.002</v>
      </c>
    </row>
    <row r="20" ht="24" customHeight="1" s="323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69" t="n">
        <v>0.03</v>
      </c>
    </row>
    <row r="21" ht="18.75" customHeight="1" s="323">
      <c r="B21" s="253" t="n"/>
    </row>
    <row r="22" ht="18.75" customHeight="1" s="323">
      <c r="B22" s="253" t="n"/>
    </row>
    <row r="23" ht="18.75" customHeight="1" s="323">
      <c r="B23" s="253" t="n"/>
    </row>
    <row r="24" ht="18.75" customHeight="1" s="323">
      <c r="B24" s="253" t="n"/>
    </row>
    <row r="27">
      <c r="B27" s="320" t="inlineStr">
        <is>
          <t>Составил ______________________        Е.А. Князева</t>
        </is>
      </c>
      <c r="C27" s="321" t="n"/>
    </row>
    <row r="28">
      <c r="B28" s="322" t="inlineStr">
        <is>
          <t xml:space="preserve">                         (подпись, инициалы, фамилия)</t>
        </is>
      </c>
      <c r="C28" s="321" t="n"/>
    </row>
    <row r="29">
      <c r="B29" s="320" t="n"/>
      <c r="C29" s="321" t="n"/>
    </row>
    <row r="30">
      <c r="B30" s="320" t="inlineStr">
        <is>
          <t>Проверил ______________________        А.В. Костянецкая</t>
        </is>
      </c>
      <c r="C30" s="321" t="n"/>
    </row>
    <row r="31">
      <c r="B31" s="322" t="inlineStr">
        <is>
          <t xml:space="preserve">                        (подпись, инициалы, фамилия)</t>
        </is>
      </c>
      <c r="C31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7" t="n"/>
      <c r="D10" s="357" t="n"/>
      <c r="E10" s="452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3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2025-01-24T12:04:12Z</dcterms:modified>
  <cp:lastModifiedBy>user1</cp:lastModifiedBy>
</cp:coreProperties>
</file>