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55" zoomScaleNormal="55" workbookViewId="0">
      <selection activeCell="D27" sqref="D27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33203125" customWidth="1" style="324" min="5" max="5"/>
    <col width="9.109375" customWidth="1" style="324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22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2" t="n"/>
      <c r="C6" s="252" t="n"/>
      <c r="D6" s="252" t="n"/>
    </row>
    <row r="7" ht="64.5" customHeight="1" s="322">
      <c r="B7" s="353" t="inlineStr">
        <is>
          <t>Наименование разрабатываемого показателя УНЦ - Муфта соединительная 220 кВ сечением 800 мм2</t>
        </is>
      </c>
    </row>
    <row r="8" ht="31.65" customHeight="1" s="322">
      <c r="B8" s="353" t="inlineStr">
        <is>
          <t>Сопоставимый уровень цен: 2 кв. 2018 г.</t>
        </is>
      </c>
    </row>
    <row r="9" ht="15.75" customHeight="1" s="322">
      <c r="B9" s="353" t="inlineStr">
        <is>
          <t>Единица измерения  — 1 ед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28" t="n"/>
    </row>
    <row r="12" ht="96.75" customHeight="1" s="322">
      <c r="B12" s="356" t="n">
        <v>1</v>
      </c>
      <c r="C12" s="336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36" t="inlineStr">
        <is>
          <t>Наименование субъекта Российской Федерации</t>
        </is>
      </c>
      <c r="D13" s="356" t="inlineStr">
        <is>
          <t>Ленинградская область</t>
        </is>
      </c>
    </row>
    <row r="14">
      <c r="B14" s="356" t="n">
        <v>3</v>
      </c>
      <c r="C14" s="336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6" t="inlineStr">
        <is>
          <t>Мощность объекта</t>
        </is>
      </c>
      <c r="D15" s="356" t="n">
        <v>1</v>
      </c>
    </row>
    <row r="16" ht="116.4" customHeight="1" s="322">
      <c r="B16" s="35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соединительная 220 кВ сечением 800 мм2</t>
        </is>
      </c>
    </row>
    <row r="17" ht="79.5" customHeight="1" s="322">
      <c r="B17" s="35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5">
        <f>D18+D19+D20+D21</f>
        <v/>
      </c>
      <c r="E17" s="251" t="n"/>
    </row>
    <row r="18">
      <c r="B18" s="227" t="inlineStr">
        <is>
          <t>6.1</t>
        </is>
      </c>
      <c r="C18" s="336" t="inlineStr">
        <is>
          <t>строительно-монтажные работы</t>
        </is>
      </c>
      <c r="D18" s="265">
        <f>'Прил.2 Расч стоим'!G13</f>
        <v/>
      </c>
    </row>
    <row r="19" ht="15.75" customHeight="1" s="322">
      <c r="B19" s="227" t="inlineStr">
        <is>
          <t>6.2</t>
        </is>
      </c>
      <c r="C19" s="336" t="inlineStr">
        <is>
          <t>оборудование и инвентарь</t>
        </is>
      </c>
      <c r="D19" s="265" t="n">
        <v>0</v>
      </c>
    </row>
    <row r="20" ht="16.5" customHeight="1" s="322">
      <c r="B20" s="227" t="inlineStr">
        <is>
          <t>6.3</t>
        </is>
      </c>
      <c r="C20" s="336" t="inlineStr">
        <is>
          <t>пусконаладочные работы</t>
        </is>
      </c>
      <c r="D20" s="265" t="n">
        <v>0</v>
      </c>
    </row>
    <row r="21" ht="35.4" customHeight="1" s="322">
      <c r="B21" s="227" t="inlineStr">
        <is>
          <t>6.4</t>
        </is>
      </c>
      <c r="C21" s="226" t="inlineStr">
        <is>
          <t>прочие и лимитированные затраты</t>
        </is>
      </c>
      <c r="D21" s="265">
        <f>D18*0.039+(D18*0.039+D18)*0.021</f>
        <v/>
      </c>
    </row>
    <row r="22">
      <c r="B22" s="356" t="n">
        <v>7</v>
      </c>
      <c r="C22" s="226" t="inlineStr">
        <is>
          <t>Сопоставимый уровень цен</t>
        </is>
      </c>
      <c r="D22" s="266" t="inlineStr">
        <is>
          <t>2 кв. 2018 г.</t>
        </is>
      </c>
      <c r="E22" s="224" t="n"/>
    </row>
    <row r="23" ht="123" customHeight="1" s="322">
      <c r="B23" s="356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5">
        <f>D17</f>
        <v/>
      </c>
      <c r="E23" s="251" t="n"/>
    </row>
    <row r="24" ht="60.75" customHeight="1" s="322">
      <c r="B24" s="35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5">
        <f>D23/D15</f>
        <v/>
      </c>
      <c r="E24" s="224" t="n"/>
    </row>
    <row r="25" ht="48.15" customHeight="1" s="322">
      <c r="B25" s="356" t="n">
        <v>10</v>
      </c>
      <c r="C25" s="336" t="inlineStr">
        <is>
          <t>Примечание</t>
        </is>
      </c>
      <c r="D25" s="356" t="n"/>
    </row>
    <row r="26">
      <c r="B26" s="222" t="n"/>
      <c r="C26" s="221" t="n"/>
      <c r="D26" s="221" t="n"/>
    </row>
    <row r="27" ht="37.5" customHeight="1" s="322">
      <c r="B27" s="220" t="n"/>
    </row>
    <row r="28">
      <c r="B28" s="324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664062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664062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1" t="inlineStr">
        <is>
          <t>Приложение № 2</t>
        </is>
      </c>
      <c r="K3" s="2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2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2">
      <c r="B8" s="253" t="n"/>
    </row>
    <row r="9" ht="15.75" customHeight="1" s="322">
      <c r="A9" s="324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4" t="n"/>
      <c r="L9" s="324" t="n"/>
    </row>
    <row r="10" ht="15.75" customHeight="1" s="322">
      <c r="A10" s="324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35" t="n"/>
      <c r="H10" s="435" t="n"/>
      <c r="I10" s="435" t="n"/>
      <c r="J10" s="436" t="n"/>
      <c r="K10" s="324" t="n"/>
      <c r="L10" s="324" t="n"/>
    </row>
    <row r="11" ht="31.5" customHeight="1" s="322">
      <c r="A11" s="324" t="n"/>
      <c r="B11" s="438" t="n"/>
      <c r="C11" s="438" t="n"/>
      <c r="D11" s="438" t="n"/>
      <c r="E11" s="43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4" t="n"/>
      <c r="L11" s="324" t="n"/>
    </row>
    <row r="12" ht="60" customHeight="1" s="322">
      <c r="A12" s="324" t="n"/>
      <c r="B12" s="325" t="n">
        <v>1</v>
      </c>
      <c r="C12" s="341">
        <f>'Прил.1 Сравнит табл'!D16</f>
        <v/>
      </c>
      <c r="D12" s="312" t="inlineStr">
        <is>
          <t>02-08-01</t>
        </is>
      </c>
      <c r="E12" s="336" t="inlineStr">
        <is>
          <t>Заходы КЛ 220 кВ</t>
        </is>
      </c>
      <c r="F12" s="314" t="n"/>
      <c r="G12" s="314">
        <f>5953666.15/1000</f>
        <v/>
      </c>
      <c r="H12" s="314" t="n"/>
      <c r="I12" s="314" t="n"/>
      <c r="J12" s="315">
        <f>SUM(F12:I12)</f>
        <v/>
      </c>
      <c r="K12" s="316" t="n"/>
      <c r="L12" s="316" t="n"/>
    </row>
    <row r="13" ht="15" customHeight="1" s="322">
      <c r="A13" s="324" t="n"/>
      <c r="B13" s="355" t="inlineStr">
        <is>
          <t>Всего по объекту:</t>
        </is>
      </c>
      <c r="C13" s="435" t="n"/>
      <c r="D13" s="435" t="n"/>
      <c r="E13" s="436" t="n"/>
      <c r="F13" s="318" t="n"/>
      <c r="G13" s="318">
        <f>SUM(G12:G12)</f>
        <v/>
      </c>
      <c r="H13" s="318" t="n"/>
      <c r="I13" s="318" t="n"/>
      <c r="J13" s="318">
        <f>SUM(F13:I13)</f>
        <v/>
      </c>
      <c r="K13" s="316" t="n"/>
      <c r="L13" s="316" t="n"/>
    </row>
    <row r="14" ht="15.75" customHeight="1" s="322">
      <c r="A14" s="324" t="n"/>
      <c r="B14" s="355" t="inlineStr">
        <is>
          <t>Всего по объекту в сопоставимом уровне цен 2 кв. 2018 г. :</t>
        </is>
      </c>
      <c r="C14" s="435" t="n"/>
      <c r="D14" s="435" t="n"/>
      <c r="E14" s="436" t="n"/>
      <c r="F14" s="318" t="n"/>
      <c r="G14" s="318">
        <f>G13</f>
        <v/>
      </c>
      <c r="H14" s="318" t="n"/>
      <c r="I14" s="318" t="n"/>
      <c r="J14" s="318">
        <f>SUM(F14:I14)</f>
        <v/>
      </c>
      <c r="K14" s="324" t="n"/>
      <c r="L14" s="316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19" t="inlineStr">
        <is>
          <t>Составил ______________________     А.Р. Маркова</t>
        </is>
      </c>
      <c r="D18" s="320" t="n"/>
      <c r="E18" s="320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21" t="inlineStr">
        <is>
          <t xml:space="preserve">                         (подпись, инициалы, фамилия)</t>
        </is>
      </c>
      <c r="D19" s="320" t="n"/>
      <c r="E19" s="320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19" t="n"/>
      <c r="D20" s="320" t="n"/>
      <c r="E20" s="320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19" t="inlineStr">
        <is>
          <t>Проверил ______________________        А.В. Костянецкая</t>
        </is>
      </c>
      <c r="D21" s="320" t="n"/>
      <c r="E21" s="320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21" t="inlineStr">
        <is>
          <t xml:space="preserve">                        (подпись, инициалы, фамилия)</t>
        </is>
      </c>
      <c r="D22" s="320" t="n"/>
      <c r="E22" s="320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9" zoomScale="85" workbookViewId="0">
      <selection activeCell="D38" sqref="D38"/>
    </sheetView>
  </sheetViews>
  <sheetFormatPr baseColWidth="8" defaultColWidth="9.109375" defaultRowHeight="15.6"/>
  <cols>
    <col width="9.109375" customWidth="1" style="324" min="1" max="1"/>
    <col width="12.6640625" customWidth="1" style="324" min="2" max="2"/>
    <col width="22.332031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2">
      <c r="A4" s="264" t="n"/>
      <c r="B4" s="264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7" t="inlineStr">
        <is>
          <t>Наименование разрабатываемого показателя УНЦ -  Муфта соединительная 220 кВ сечением 800 мм2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22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65" customHeight="1" s="322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32">
      <c r="A11" s="360" t="inlineStr">
        <is>
          <t>Затраты труда рабочих</t>
        </is>
      </c>
      <c r="B11" s="435" t="n"/>
      <c r="C11" s="435" t="n"/>
      <c r="D11" s="435" t="n"/>
      <c r="E11" s="436" t="n"/>
      <c r="F11" s="439">
        <f>SUM(F12:F12)</f>
        <v/>
      </c>
      <c r="G11" s="260" t="n"/>
      <c r="H11" s="439">
        <f>SUM(H12:H12)</f>
        <v/>
      </c>
    </row>
    <row r="12">
      <c r="A12" s="389" t="n">
        <v>1</v>
      </c>
      <c r="B12" s="235" t="n"/>
      <c r="C12" s="270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71" t="n">
        <v>940.8</v>
      </c>
      <c r="G12" s="440" t="n">
        <v>9.619999999999999</v>
      </c>
      <c r="H12" s="254">
        <f>ROUND(F12*G12,2)</f>
        <v/>
      </c>
      <c r="M12" s="441" t="n"/>
    </row>
    <row r="13">
      <c r="A13" s="359" t="inlineStr">
        <is>
          <t>Затраты труда машинистов</t>
        </is>
      </c>
      <c r="B13" s="435" t="n"/>
      <c r="C13" s="435" t="n"/>
      <c r="D13" s="435" t="n"/>
      <c r="E13" s="436" t="n"/>
      <c r="F13" s="360" t="n"/>
      <c r="G13" s="233" t="n"/>
      <c r="H13" s="439">
        <f>H14</f>
        <v/>
      </c>
    </row>
    <row r="14">
      <c r="A14" s="389" t="n">
        <v>2</v>
      </c>
      <c r="B14" s="361" t="n"/>
      <c r="C14" s="272" t="n">
        <v>2</v>
      </c>
      <c r="D14" s="256" t="inlineStr">
        <is>
          <t>Затраты труда машинистов</t>
        </is>
      </c>
      <c r="E14" s="389" t="inlineStr">
        <is>
          <t>чел.-ч</t>
        </is>
      </c>
      <c r="F14" s="389" t="n">
        <v>5.64</v>
      </c>
      <c r="G14" s="254" t="n"/>
      <c r="H14" s="275">
        <f>38.07+32.71</f>
        <v/>
      </c>
    </row>
    <row r="15" customFormat="1" s="232">
      <c r="A15" s="360" t="inlineStr">
        <is>
          <t>Машины и механизмы</t>
        </is>
      </c>
      <c r="B15" s="435" t="n"/>
      <c r="C15" s="435" t="n"/>
      <c r="D15" s="435" t="n"/>
      <c r="E15" s="436" t="n"/>
      <c r="F15" s="360" t="n"/>
      <c r="G15" s="233" t="n"/>
      <c r="H15" s="439">
        <f>SUM(H16:H20)</f>
        <v/>
      </c>
    </row>
    <row r="16" ht="25.5" customHeight="1" s="322">
      <c r="A16" s="389" t="n">
        <v>3</v>
      </c>
      <c r="B16" s="361" t="n"/>
      <c r="C16" s="270" t="inlineStr">
        <is>
          <t>91.05.05-015</t>
        </is>
      </c>
      <c r="D16" s="370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2.82</v>
      </c>
      <c r="G16" s="373" t="n">
        <v>115.4</v>
      </c>
      <c r="H16" s="254">
        <f>ROUND(F16*G16,2)</f>
        <v/>
      </c>
      <c r="I16" s="287" t="n"/>
      <c r="J16" s="287" t="n"/>
      <c r="L16" s="287" t="n"/>
    </row>
    <row r="17" customFormat="1" s="232">
      <c r="A17" s="389" t="n">
        <v>4</v>
      </c>
      <c r="B17" s="361" t="n"/>
      <c r="C17" s="270" t="inlineStr">
        <is>
          <t>91.14.02-001</t>
        </is>
      </c>
      <c r="D17" s="370" t="inlineStr">
        <is>
          <t>Автомобили бортовые, грузоподъемность до 5 т</t>
        </is>
      </c>
      <c r="E17" s="371" t="inlineStr">
        <is>
          <t>маш.час</t>
        </is>
      </c>
      <c r="F17" s="371" t="n">
        <v>2.82</v>
      </c>
      <c r="G17" s="373" t="n">
        <v>65.70999999999999</v>
      </c>
      <c r="H17" s="254">
        <f>ROUND(F17*G17,2)</f>
        <v/>
      </c>
      <c r="I17" s="287" t="n"/>
      <c r="J17" s="287" t="n"/>
      <c r="K17" s="288" t="n"/>
      <c r="L17" s="287" t="n"/>
    </row>
    <row r="18">
      <c r="A18" s="389" t="n">
        <v>5</v>
      </c>
      <c r="B18" s="361" t="n"/>
      <c r="C18" s="270" t="inlineStr">
        <is>
          <t>91.19.12-021</t>
        </is>
      </c>
      <c r="D18" s="370" t="inlineStr">
        <is>
          <t>Насосы вакуумные 3,6 м3/мин</t>
        </is>
      </c>
      <c r="E18" s="371" t="inlineStr">
        <is>
          <t>маш.час</t>
        </is>
      </c>
      <c r="F18" s="371" t="n">
        <v>24.96</v>
      </c>
      <c r="G18" s="373" t="n">
        <v>6.28</v>
      </c>
      <c r="H18" s="254">
        <f>ROUND(F18*G18,2)</f>
        <v/>
      </c>
      <c r="I18" s="287" t="n"/>
      <c r="J18" s="287" t="n"/>
      <c r="L18" s="287" t="n"/>
    </row>
    <row r="19" ht="25.5" customHeight="1" s="322">
      <c r="A19" s="389" t="n">
        <v>6</v>
      </c>
      <c r="B19" s="361" t="n"/>
      <c r="C19" s="270" t="inlineStr">
        <is>
          <t>91.17.04-233</t>
        </is>
      </c>
      <c r="D19" s="370" t="inlineStr">
        <is>
          <t>Установки для сварки ручной дуговой (постоянного тока)</t>
        </is>
      </c>
      <c r="E19" s="371" t="inlineStr">
        <is>
          <t>маш.час</t>
        </is>
      </c>
      <c r="F19" s="371" t="n">
        <v>16.41</v>
      </c>
      <c r="G19" s="373" t="n">
        <v>8.1</v>
      </c>
      <c r="H19" s="254">
        <f>ROUND(F19*G19,2)</f>
        <v/>
      </c>
      <c r="I19" s="287" t="n"/>
      <c r="J19" s="287" t="n"/>
      <c r="L19" s="287" t="n"/>
    </row>
    <row r="20">
      <c r="A20" s="389" t="n">
        <v>7</v>
      </c>
      <c r="B20" s="361" t="n"/>
      <c r="C20" s="270" t="inlineStr">
        <is>
          <t>91.21.16-012</t>
        </is>
      </c>
      <c r="D20" s="370" t="inlineStr">
        <is>
          <t>Прессы гидравлические с электроприводом</t>
        </is>
      </c>
      <c r="E20" s="371" t="inlineStr">
        <is>
          <t>маш.час</t>
        </is>
      </c>
      <c r="F20" s="371" t="n">
        <v>94.56</v>
      </c>
      <c r="G20" s="373" t="n">
        <v>1.11</v>
      </c>
      <c r="H20" s="254">
        <f>ROUND(F20*G20,2)</f>
        <v/>
      </c>
      <c r="I20" s="287" t="n"/>
      <c r="J20" s="287" t="n"/>
      <c r="L20" s="287" t="n"/>
    </row>
    <row r="21">
      <c r="A21" s="360" t="inlineStr">
        <is>
          <t>Материалы</t>
        </is>
      </c>
      <c r="B21" s="435" t="n"/>
      <c r="C21" s="435" t="n"/>
      <c r="D21" s="435" t="n"/>
      <c r="E21" s="436" t="n"/>
      <c r="F21" s="360" t="n"/>
      <c r="G21" s="233" t="n"/>
      <c r="H21" s="439">
        <f>SUM(H22:H36)</f>
        <v/>
      </c>
    </row>
    <row r="22">
      <c r="A22" s="283" t="n">
        <v>8</v>
      </c>
      <c r="B22" s="281" t="n"/>
      <c r="C22" s="389" t="inlineStr">
        <is>
          <t>Прайс из СД ОП</t>
        </is>
      </c>
      <c r="D22" s="282" t="inlineStr">
        <is>
          <t>Муфта соединительная 220 кВ сечением 800 мм2</t>
        </is>
      </c>
      <c r="E22" s="389" t="inlineStr">
        <is>
          <t>шт</t>
        </is>
      </c>
      <c r="F22" s="389" t="n">
        <v>6</v>
      </c>
      <c r="G22" s="282" t="n">
        <v>176309.79</v>
      </c>
      <c r="H22" s="254">
        <f>ROUND(F22*G22,2)</f>
        <v/>
      </c>
    </row>
    <row r="23">
      <c r="A23" s="257" t="n">
        <v>9</v>
      </c>
      <c r="B23" s="361" t="n"/>
      <c r="C23" s="270" t="inlineStr">
        <is>
          <t>01.7.07.12-0022</t>
        </is>
      </c>
      <c r="D23" s="370" t="inlineStr">
        <is>
          <t>Пленка полиэтиленовая, толщина 0,2-0,5 мм</t>
        </is>
      </c>
      <c r="E23" s="371" t="inlineStr">
        <is>
          <t>м2</t>
        </is>
      </c>
      <c r="F23" s="371" t="n">
        <v>153.3</v>
      </c>
      <c r="G23" s="373" t="n">
        <v>12.19</v>
      </c>
      <c r="H23" s="254">
        <f>ROUND(F23*G23,2)</f>
        <v/>
      </c>
      <c r="I23" s="258" t="n"/>
      <c r="J23" s="287" t="n"/>
      <c r="K23" s="287" t="n"/>
    </row>
    <row r="24">
      <c r="A24" s="283" t="n">
        <v>10</v>
      </c>
      <c r="B24" s="361" t="n"/>
      <c r="C24" s="270" t="inlineStr">
        <is>
          <t>01.3.02.01-0002</t>
        </is>
      </c>
      <c r="D24" s="370" t="inlineStr">
        <is>
          <t>Азот газообразный технический</t>
        </is>
      </c>
      <c r="E24" s="371" t="inlineStr">
        <is>
          <t>м3</t>
        </is>
      </c>
      <c r="F24" s="371" t="n">
        <v>207</v>
      </c>
      <c r="G24" s="373" t="n">
        <v>6.21</v>
      </c>
      <c r="H24" s="254">
        <f>ROUND(F24*G24,2)</f>
        <v/>
      </c>
      <c r="I24" s="258" t="n"/>
      <c r="J24" s="287" t="n"/>
      <c r="K24" s="287" t="n"/>
    </row>
    <row r="25">
      <c r="A25" s="257" t="n">
        <v>11</v>
      </c>
      <c r="B25" s="361" t="n"/>
      <c r="C25" s="270" t="inlineStr">
        <is>
          <t>01.7.03.04-0001</t>
        </is>
      </c>
      <c r="D25" s="370" t="inlineStr">
        <is>
          <t>Электроэнергия</t>
        </is>
      </c>
      <c r="E25" s="371" t="inlineStr">
        <is>
          <t>кВт-ч</t>
        </is>
      </c>
      <c r="F25" s="371" t="n">
        <v>2081.67</v>
      </c>
      <c r="G25" s="373" t="n">
        <v>0.4</v>
      </c>
      <c r="H25" s="254">
        <f>ROUND(F25*G25,2)</f>
        <v/>
      </c>
      <c r="I25" s="258" t="n"/>
      <c r="J25" s="287" t="n"/>
      <c r="K25" s="287" t="n"/>
    </row>
    <row r="26" ht="25.5" customHeight="1" s="322">
      <c r="A26" s="283" t="n">
        <v>12</v>
      </c>
      <c r="B26" s="361" t="n"/>
      <c r="C26" s="270" t="inlineStr">
        <is>
          <t>10.3.02.03-0011</t>
        </is>
      </c>
      <c r="D26" s="370" t="inlineStr">
        <is>
          <t>Припои оловянно-свинцовые бессурьмянистые, марка ПОС30</t>
        </is>
      </c>
      <c r="E26" s="371" t="inlineStr">
        <is>
          <t>т</t>
        </is>
      </c>
      <c r="F26" s="371" t="n">
        <v>0.008999999999999999</v>
      </c>
      <c r="G26" s="373" t="n">
        <v>68050</v>
      </c>
      <c r="H26" s="254">
        <f>ROUND(F26*G26,2)</f>
        <v/>
      </c>
      <c r="I26" s="258" t="n"/>
      <c r="J26" s="287" t="n"/>
      <c r="K26" s="287" t="n"/>
    </row>
    <row r="27">
      <c r="A27" s="257" t="n">
        <v>13</v>
      </c>
      <c r="B27" s="361" t="n"/>
      <c r="C27" s="270" t="inlineStr">
        <is>
          <t>01.7.20.08-0102</t>
        </is>
      </c>
      <c r="D27" s="370" t="inlineStr">
        <is>
          <t>Миткаль суровый</t>
        </is>
      </c>
      <c r="E27" s="371" t="inlineStr">
        <is>
          <t>10 м</t>
        </is>
      </c>
      <c r="F27" s="371" t="n">
        <v>7.5</v>
      </c>
      <c r="G27" s="373" t="n">
        <v>73.65000000000001</v>
      </c>
      <c r="H27" s="254">
        <f>ROUND(F27*G27,2)</f>
        <v/>
      </c>
      <c r="I27" s="258" t="n"/>
      <c r="J27" s="287" t="n"/>
      <c r="K27" s="287" t="n"/>
    </row>
    <row r="28">
      <c r="A28" s="283" t="n">
        <v>14</v>
      </c>
      <c r="B28" s="361" t="n"/>
      <c r="C28" s="270" t="inlineStr">
        <is>
          <t>01.7.14.07-0071</t>
        </is>
      </c>
      <c r="D28" s="370" t="inlineStr">
        <is>
          <t>Пластикат листовой</t>
        </is>
      </c>
      <c r="E28" s="371" t="inlineStr">
        <is>
          <t>т</t>
        </is>
      </c>
      <c r="F28" s="371" t="n">
        <v>0.024</v>
      </c>
      <c r="G28" s="373" t="n">
        <v>19350</v>
      </c>
      <c r="H28" s="254">
        <f>ROUND(F28*G28,2)</f>
        <v/>
      </c>
      <c r="I28" s="258" t="n"/>
      <c r="J28" s="287" t="n"/>
      <c r="K28" s="287" t="n"/>
    </row>
    <row r="29" ht="25.5" customHeight="1" s="322">
      <c r="A29" s="257" t="n">
        <v>15</v>
      </c>
      <c r="B29" s="361" t="n"/>
      <c r="C29" s="270" t="inlineStr">
        <is>
          <t>11.1.03.05-0085</t>
        </is>
      </c>
      <c r="D29" s="370" t="inlineStr">
        <is>
          <t>Доска необрезная, хвойных пород, длина 4-6,5 м, все ширины, толщина 44 мм и более, сорт III</t>
        </is>
      </c>
      <c r="E29" s="371" t="inlineStr">
        <is>
          <t>м3</t>
        </is>
      </c>
      <c r="F29" s="371" t="n">
        <v>0.42</v>
      </c>
      <c r="G29" s="373" t="n">
        <v>684</v>
      </c>
      <c r="H29" s="254">
        <f>ROUND(F29*G29,2)</f>
        <v/>
      </c>
      <c r="I29" s="258" t="n"/>
      <c r="J29" s="287" t="n"/>
      <c r="K29" s="287" t="n"/>
    </row>
    <row r="30">
      <c r="A30" s="283" t="n">
        <v>16</v>
      </c>
      <c r="B30" s="361" t="n"/>
      <c r="C30" s="270" t="inlineStr">
        <is>
          <t>01.3.01.01-0001</t>
        </is>
      </c>
      <c r="D30" s="370" t="inlineStr">
        <is>
          <t>Бензин авиационный Б-70</t>
        </is>
      </c>
      <c r="E30" s="371" t="inlineStr">
        <is>
          <t>т</t>
        </is>
      </c>
      <c r="F30" s="371" t="n">
        <v>0.06</v>
      </c>
      <c r="G30" s="373" t="n">
        <v>4488.4</v>
      </c>
      <c r="H30" s="254">
        <f>ROUND(F30*G30,2)</f>
        <v/>
      </c>
      <c r="I30" s="258" t="n"/>
      <c r="J30" s="287" t="n"/>
      <c r="K30" s="287" t="n"/>
    </row>
    <row r="31">
      <c r="A31" s="257" t="n">
        <v>17</v>
      </c>
      <c r="B31" s="361" t="n"/>
      <c r="C31" s="270" t="inlineStr">
        <is>
          <t>01.7.20.08-0021</t>
        </is>
      </c>
      <c r="D31" s="370" t="inlineStr">
        <is>
          <t>Брезент</t>
        </is>
      </c>
      <c r="E31" s="371" t="inlineStr">
        <is>
          <t>м2</t>
        </is>
      </c>
      <c r="F31" s="371" t="n">
        <v>6</v>
      </c>
      <c r="G31" s="373" t="n">
        <v>37.43</v>
      </c>
      <c r="H31" s="254">
        <f>ROUND(F31*G31,2)</f>
        <v/>
      </c>
      <c r="I31" s="258" t="n"/>
      <c r="J31" s="287" t="n"/>
      <c r="K31" s="287" t="n"/>
    </row>
    <row r="32">
      <c r="A32" s="283" t="n">
        <v>18</v>
      </c>
      <c r="B32" s="361" t="n"/>
      <c r="C32" s="270" t="inlineStr">
        <is>
          <t>01.7.11.07-0034</t>
        </is>
      </c>
      <c r="D32" s="370" t="inlineStr">
        <is>
          <t>Электроды сварочные Э42А, диаметр 4 мм</t>
        </is>
      </c>
      <c r="E32" s="371" t="inlineStr">
        <is>
          <t>кг</t>
        </is>
      </c>
      <c r="F32" s="371" t="n">
        <v>20.7</v>
      </c>
      <c r="G32" s="373" t="n">
        <v>10.57</v>
      </c>
      <c r="H32" s="254">
        <f>ROUND(F32*G32,2)</f>
        <v/>
      </c>
      <c r="I32" s="258" t="n"/>
      <c r="J32" s="287" t="n"/>
      <c r="K32" s="287" t="n"/>
    </row>
    <row r="33" ht="25.5" customHeight="1" s="322">
      <c r="A33" s="257" t="n">
        <v>19</v>
      </c>
      <c r="B33" s="361" t="n"/>
      <c r="C33" s="270" t="inlineStr">
        <is>
          <t>01.1.02.02-0022</t>
        </is>
      </c>
      <c r="D33" s="370" t="inlineStr">
        <is>
          <t>Бумага асбестовая электроизоляционная БЭ, толщина 0,2 мм</t>
        </is>
      </c>
      <c r="E33" s="371" t="inlineStr">
        <is>
          <t>т</t>
        </is>
      </c>
      <c r="F33" s="371" t="n">
        <v>0.006</v>
      </c>
      <c r="G33" s="373" t="n">
        <v>11549</v>
      </c>
      <c r="H33" s="254">
        <f>ROUND(F33*G33,2)</f>
        <v/>
      </c>
      <c r="I33" s="258" t="n"/>
      <c r="J33" s="287" t="n"/>
      <c r="K33" s="287" t="n"/>
    </row>
    <row r="34" ht="25.5" customHeight="1" s="322">
      <c r="A34" s="283" t="n">
        <v>20</v>
      </c>
      <c r="B34" s="361" t="n"/>
      <c r="C34" s="270" t="inlineStr">
        <is>
          <t>01.7.06.05-0041</t>
        </is>
      </c>
      <c r="D34" s="370" t="inlineStr">
        <is>
          <t>Лента изоляционная прорезиненная односторонняя, ширина 20 мм, толщина 0,25-0,35 мм</t>
        </is>
      </c>
      <c r="E34" s="371" t="inlineStr">
        <is>
          <t>кг</t>
        </is>
      </c>
      <c r="F34" s="371" t="n">
        <v>1.2</v>
      </c>
      <c r="G34" s="373" t="n">
        <v>30.4</v>
      </c>
      <c r="H34" s="254">
        <f>ROUND(F34*G34,2)</f>
        <v/>
      </c>
      <c r="I34" s="258" t="n"/>
      <c r="J34" s="287" t="n"/>
      <c r="K34" s="287" t="n"/>
    </row>
    <row r="35" ht="25.5" customHeight="1" s="322">
      <c r="A35" s="257" t="n">
        <v>21</v>
      </c>
      <c r="B35" s="361" t="n"/>
      <c r="C35" s="270" t="inlineStr">
        <is>
          <t>10.2.02.08-0001</t>
        </is>
      </c>
      <c r="D35" s="370" t="inlineStr">
        <is>
          <t>Проволока медная, круглая, мягкая, электротехническая, диаметр 1,0-3,0 мм и выше</t>
        </is>
      </c>
      <c r="E35" s="371" t="inlineStr">
        <is>
          <t>т</t>
        </is>
      </c>
      <c r="F35" s="371" t="n">
        <v>0.0009</v>
      </c>
      <c r="G35" s="373" t="n">
        <v>37517</v>
      </c>
      <c r="H35" s="254">
        <f>ROUND(F35*G35,2)</f>
        <v/>
      </c>
      <c r="I35" s="258" t="n"/>
      <c r="J35" s="287" t="n"/>
      <c r="K35" s="287" t="n"/>
    </row>
    <row r="36">
      <c r="A36" s="283" t="n">
        <v>22</v>
      </c>
      <c r="B36" s="361" t="n"/>
      <c r="C36" s="270" t="inlineStr">
        <is>
          <t>01.3.01.07-0009</t>
        </is>
      </c>
      <c r="D36" s="370" t="inlineStr">
        <is>
          <t>Спирт этиловый ректификованный технический, сорт I</t>
        </is>
      </c>
      <c r="E36" s="371" t="inlineStr">
        <is>
          <t>кг</t>
        </is>
      </c>
      <c r="F36" s="371" t="n">
        <v>0.72</v>
      </c>
      <c r="G36" s="373" t="n">
        <v>38.89</v>
      </c>
      <c r="H36" s="254">
        <f>ROUND(F36*G36,2)</f>
        <v/>
      </c>
      <c r="I36" s="258" t="n"/>
      <c r="J36" s="287" t="n"/>
      <c r="K36" s="287" t="n"/>
    </row>
    <row r="38">
      <c r="B38" s="324" t="inlineStr">
        <is>
          <t>Составил ______________________     А.Р. Маркова</t>
        </is>
      </c>
    </row>
    <row r="39">
      <c r="B39" s="220" t="inlineStr">
        <is>
          <t xml:space="preserve">                         (подпись, инициалы, фамилия)</t>
        </is>
      </c>
    </row>
    <row r="41">
      <c r="B41" s="324" t="inlineStr">
        <is>
          <t>Проверил ______________________        А.В. Костянецкая</t>
        </is>
      </c>
    </row>
    <row r="42">
      <c r="B42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33203125" customWidth="1" style="322" min="6" max="6"/>
    <col width="14.33203125" customWidth="1" style="322" min="7" max="7"/>
    <col width="9.109375" customWidth="1" style="322" min="8" max="11"/>
    <col width="13.6640625" customWidth="1" style="322" min="12" max="12"/>
    <col width="9.109375" customWidth="1" style="322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384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44" t="inlineStr">
        <is>
          <t>Ресурсная модель</t>
        </is>
      </c>
    </row>
    <row r="6">
      <c r="B6" s="247" t="n"/>
      <c r="C6" s="319" t="n"/>
      <c r="D6" s="319" t="n"/>
      <c r="E6" s="319" t="n"/>
    </row>
    <row r="7" ht="25.5" customHeight="1" s="322">
      <c r="B7" s="363" t="inlineStr">
        <is>
          <t>Наименование разрабатываемого показателя УНЦ — Муфта соединительная 220 кВ сечением 800 мм2</t>
        </is>
      </c>
    </row>
    <row r="8">
      <c r="B8" s="364" t="inlineStr">
        <is>
          <t>Единица измерения  — 1 ед</t>
        </is>
      </c>
    </row>
    <row r="9">
      <c r="B9" s="247" t="n"/>
      <c r="C9" s="319" t="n"/>
      <c r="D9" s="319" t="n"/>
      <c r="E9" s="319" t="n"/>
    </row>
    <row r="10" ht="51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9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9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9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9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9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9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9">
        <f>'Прил.5 Расчет СМР и ОБ'!J52</f>
        <v/>
      </c>
      <c r="D17" s="241">
        <f>C17/$C$24</f>
        <v/>
      </c>
      <c r="E17" s="241">
        <f>C17/$C$40</f>
        <v/>
      </c>
      <c r="G17" s="442" t="n"/>
    </row>
    <row r="18">
      <c r="B18" s="239" t="inlineStr">
        <is>
          <t>МАТЕРИАЛЫ, ВСЕГО:</t>
        </is>
      </c>
      <c r="C18" s="299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9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9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ОБ'!D56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9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ОБ'!D55</f>
        <v/>
      </c>
      <c r="D23" s="241" t="n"/>
      <c r="E23" s="239" t="n"/>
    </row>
    <row r="24">
      <c r="B24" s="239" t="inlineStr">
        <is>
          <t>ВСЕГО СМР с НР и СП</t>
        </is>
      </c>
      <c r="C24" s="299">
        <f>C19+C20+C22</f>
        <v/>
      </c>
      <c r="D24" s="241">
        <f>C24/$C$24</f>
        <v/>
      </c>
      <c r="E24" s="241">
        <f>C24/$C$40</f>
        <v/>
      </c>
    </row>
    <row r="25" ht="25.5" customHeight="1" s="322">
      <c r="B25" s="239" t="inlineStr">
        <is>
          <t>ВСЕГО стоимость оборудования, в том числе</t>
        </is>
      </c>
      <c r="C25" s="299">
        <f>'Прил.5 Расчет СМР и ОБ'!J32</f>
        <v/>
      </c>
      <c r="D25" s="241" t="n"/>
      <c r="E25" s="241">
        <f>C25/$C$40</f>
        <v/>
      </c>
    </row>
    <row r="26" ht="25.5" customHeight="1" s="322">
      <c r="B26" s="239" t="inlineStr">
        <is>
          <t>стоимость оборудования технологического</t>
        </is>
      </c>
      <c r="C26" s="299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2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2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2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3" t="n">
        <v>0</v>
      </c>
      <c r="D31" s="239" t="n"/>
      <c r="E31" s="241">
        <f>C31/$C$40</f>
        <v/>
      </c>
    </row>
    <row r="32" ht="25.5" customHeight="1" s="322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2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2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22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2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2">
      <c r="B38" s="239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39" t="n"/>
      <c r="E38" s="241">
        <f>C38/$C$40</f>
        <v/>
      </c>
    </row>
    <row r="39" ht="13.65" customHeight="1" s="322">
      <c r="B39" s="239" t="inlineStr">
        <is>
          <t>Непредвиденные расходы</t>
        </is>
      </c>
      <c r="C39" s="299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9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9">
        <f>C40/'Прил.5 Расчет СМР и ОБ'!E59</f>
        <v/>
      </c>
      <c r="D41" s="239" t="n"/>
      <c r="E41" s="239" t="n"/>
    </row>
    <row r="42">
      <c r="B42" s="301" t="n"/>
      <c r="C42" s="319" t="n"/>
      <c r="D42" s="319" t="n"/>
      <c r="E42" s="319" t="n"/>
    </row>
    <row r="43">
      <c r="B43" s="301" t="inlineStr">
        <is>
          <t>Составил ____________________________ А.Р. Маркова</t>
        </is>
      </c>
      <c r="C43" s="319" t="n"/>
      <c r="D43" s="319" t="n"/>
      <c r="E43" s="319" t="n"/>
    </row>
    <row r="44">
      <c r="B44" s="301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301" t="n"/>
      <c r="C45" s="319" t="n"/>
      <c r="D45" s="319" t="n"/>
      <c r="E45" s="319" t="n"/>
    </row>
    <row r="46">
      <c r="B46" s="301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64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3" workbookViewId="0">
      <selection activeCell="D62" sqref="D62"/>
    </sheetView>
  </sheetViews>
  <sheetFormatPr baseColWidth="8" defaultColWidth="9.109375" defaultRowHeight="14.4" outlineLevelRow="1"/>
  <cols>
    <col width="5.6640625" customWidth="1" style="320" min="1" max="1"/>
    <col width="22.6640625" customWidth="1" style="320" min="2" max="2"/>
    <col width="39.109375" customWidth="1" style="320" min="3" max="3"/>
    <col width="10.6640625" customWidth="1" style="320" min="4" max="4"/>
    <col width="12.6640625" customWidth="1" style="320" min="5" max="5"/>
    <col width="15" customWidth="1" style="320" min="6" max="6"/>
    <col width="13.33203125" customWidth="1" style="320" min="7" max="7"/>
    <col width="12.6640625" customWidth="1" style="320" min="8" max="8"/>
    <col width="13.88671875" customWidth="1" style="320" min="9" max="9"/>
    <col width="17.6640625" customWidth="1" style="320" min="10" max="10"/>
    <col width="10.88671875" customWidth="1" style="320" min="11" max="11"/>
    <col width="9.109375" customWidth="1" style="320" min="12" max="12"/>
    <col width="9.109375" customWidth="1" style="322" min="13" max="13"/>
  </cols>
  <sheetData>
    <row r="1" s="322">
      <c r="A1" s="320" t="n"/>
      <c r="B1" s="320" t="n"/>
      <c r="C1" s="320" t="n"/>
      <c r="D1" s="320" t="n"/>
      <c r="E1" s="320" t="n"/>
      <c r="F1" s="320" t="n"/>
      <c r="G1" s="320" t="n"/>
      <c r="H1" s="320" t="n"/>
      <c r="I1" s="320" t="n"/>
      <c r="J1" s="320" t="n"/>
      <c r="K1" s="320" t="n"/>
      <c r="L1" s="320" t="n"/>
      <c r="M1" s="320" t="n"/>
      <c r="N1" s="320" t="n"/>
    </row>
    <row r="2" ht="15.75" customHeight="1" s="322">
      <c r="A2" s="320" t="n"/>
      <c r="B2" s="320" t="n"/>
      <c r="C2" s="320" t="n"/>
      <c r="D2" s="320" t="n"/>
      <c r="E2" s="320" t="n"/>
      <c r="F2" s="320" t="n"/>
      <c r="G2" s="320" t="n"/>
      <c r="H2" s="379" t="inlineStr">
        <is>
          <t>Приложение №5</t>
        </is>
      </c>
      <c r="K2" s="320" t="n"/>
      <c r="L2" s="320" t="n"/>
      <c r="M2" s="320" t="n"/>
      <c r="N2" s="320" t="n"/>
    </row>
    <row r="3" s="322">
      <c r="A3" s="320" t="n"/>
      <c r="B3" s="320" t="n"/>
      <c r="C3" s="320" t="n"/>
      <c r="D3" s="320" t="n"/>
      <c r="E3" s="320" t="n"/>
      <c r="F3" s="320" t="n"/>
      <c r="G3" s="320" t="n"/>
      <c r="H3" s="320" t="n"/>
      <c r="I3" s="320" t="n"/>
      <c r="J3" s="320" t="n"/>
      <c r="K3" s="320" t="n"/>
      <c r="L3" s="320" t="n"/>
      <c r="M3" s="320" t="n"/>
      <c r="N3" s="320" t="n"/>
    </row>
    <row r="4" ht="12.75" customFormat="1" customHeight="1" s="319">
      <c r="A4" s="344" t="inlineStr">
        <is>
          <t>Расчет стоимости СМР и оборудования</t>
        </is>
      </c>
    </row>
    <row r="5" ht="12.75" customFormat="1" customHeight="1" s="319">
      <c r="A5" s="344" t="n"/>
      <c r="B5" s="344" t="n"/>
      <c r="C5" s="391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19">
      <c r="A6" s="207" t="inlineStr">
        <is>
          <t>Наименование разрабатываемого показателя УНЦ</t>
        </is>
      </c>
      <c r="B6" s="206" t="n"/>
      <c r="C6" s="206" t="n"/>
      <c r="D6" s="383" t="inlineStr">
        <is>
          <t>Муфта соединительная 220 кВ сечением 800 мм2</t>
        </is>
      </c>
    </row>
    <row r="7" ht="12.75" customFormat="1" customHeight="1" s="319">
      <c r="A7" s="347" t="inlineStr">
        <is>
          <t>Единица измерения  — 1 ед</t>
        </is>
      </c>
      <c r="I7" s="363" t="n"/>
      <c r="J7" s="363" t="n"/>
    </row>
    <row r="8" ht="13.65" customFormat="1" customHeight="1" s="319">
      <c r="A8" s="347" t="n"/>
    </row>
    <row r="9" ht="13.2" customFormat="1" customHeight="1" s="319"/>
    <row r="10" ht="27" customHeight="1" s="322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6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6" t="n"/>
      <c r="K10" s="320" t="n"/>
      <c r="L10" s="320" t="n"/>
      <c r="M10" s="320" t="n"/>
      <c r="N10" s="320" t="n"/>
    </row>
    <row r="11" ht="28.5" customHeight="1" s="322">
      <c r="A11" s="438" t="n"/>
      <c r="B11" s="438" t="n"/>
      <c r="C11" s="438" t="n"/>
      <c r="D11" s="438" t="n"/>
      <c r="E11" s="438" t="n"/>
      <c r="F11" s="371" t="inlineStr">
        <is>
          <t>на ед. изм.</t>
        </is>
      </c>
      <c r="G11" s="371" t="inlineStr">
        <is>
          <t>общая</t>
        </is>
      </c>
      <c r="H11" s="438" t="n"/>
      <c r="I11" s="371" t="inlineStr">
        <is>
          <t>на ед. изм.</t>
        </is>
      </c>
      <c r="J11" s="371" t="inlineStr">
        <is>
          <t>общая</t>
        </is>
      </c>
      <c r="K11" s="320" t="n"/>
      <c r="L11" s="320" t="n"/>
      <c r="M11" s="320" t="n"/>
      <c r="N11" s="320" t="n"/>
    </row>
    <row r="12" s="322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20" t="n"/>
      <c r="L12" s="320" t="n"/>
      <c r="M12" s="320" t="n"/>
      <c r="N12" s="320" t="n"/>
    </row>
    <row r="13">
      <c r="A13" s="371" t="n"/>
      <c r="B13" s="359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194" t="n"/>
      <c r="J13" s="194" t="n"/>
    </row>
    <row r="14" ht="25.5" customHeight="1" s="322">
      <c r="A14" s="371" t="n">
        <v>1</v>
      </c>
      <c r="B14" s="270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3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0">
      <c r="A15" s="371" t="n"/>
      <c r="B15" s="371" t="n"/>
      <c r="C15" s="359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3">
        <f>SUM(E14:E14)</f>
        <v/>
      </c>
      <c r="F15" s="201" t="n"/>
      <c r="G15" s="201">
        <f>SUM(G14:G14)</f>
        <v/>
      </c>
      <c r="H15" s="374" t="n">
        <v>1</v>
      </c>
      <c r="I15" s="194" t="n"/>
      <c r="J15" s="201">
        <f>SUM(J14:J14)</f>
        <v/>
      </c>
    </row>
    <row r="16" ht="14.25" customFormat="1" customHeight="1" s="320">
      <c r="A16" s="371" t="n"/>
      <c r="B16" s="37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194" t="n"/>
      <c r="J16" s="194" t="n"/>
    </row>
    <row r="17" ht="14.25" customFormat="1" customHeight="1" s="320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43" t="n">
        <v>5.64</v>
      </c>
      <c r="F17" s="201">
        <f>G17/E17</f>
        <v/>
      </c>
      <c r="G17" s="201">
        <f>'Прил. 3'!H13</f>
        <v/>
      </c>
      <c r="H17" s="374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0">
      <c r="A18" s="371" t="n"/>
      <c r="B18" s="359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194" t="n"/>
      <c r="J18" s="194" t="n"/>
    </row>
    <row r="19" ht="14.25" customFormat="1" customHeight="1" s="320">
      <c r="A19" s="371" t="n"/>
      <c r="B19" s="37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194" t="n"/>
      <c r="J19" s="194" t="n"/>
    </row>
    <row r="20" ht="25.5" customFormat="1" customHeight="1" s="320">
      <c r="A20" s="371" t="n">
        <v>3</v>
      </c>
      <c r="B20" s="270" t="inlineStr">
        <is>
          <t>91.05.05-015</t>
        </is>
      </c>
      <c r="C20" s="370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44" t="n">
        <v>2.82</v>
      </c>
      <c r="F20" s="373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0">
      <c r="A21" s="371" t="n">
        <v>4</v>
      </c>
      <c r="B21" s="270" t="inlineStr">
        <is>
          <t>91.14.02-001</t>
        </is>
      </c>
      <c r="C21" s="370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444" t="n">
        <v>2.82</v>
      </c>
      <c r="F21" s="373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0">
      <c r="A22" s="371" t="n">
        <v>5</v>
      </c>
      <c r="B22" s="270" t="inlineStr">
        <is>
          <t>91.19.12-021</t>
        </is>
      </c>
      <c r="C22" s="370" t="inlineStr">
        <is>
          <t>Насосы вакуумные 3,6 м3/мин</t>
        </is>
      </c>
      <c r="D22" s="371" t="inlineStr">
        <is>
          <t>маш.час</t>
        </is>
      </c>
      <c r="E22" s="444" t="n">
        <v>24.96</v>
      </c>
      <c r="F22" s="373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20">
      <c r="A23" s="371" t="n">
        <v>6</v>
      </c>
      <c r="B23" s="270" t="inlineStr">
        <is>
          <t>91.17.04-233</t>
        </is>
      </c>
      <c r="C23" s="370" t="inlineStr">
        <is>
          <t>Установки для сварки ручной дуговой (постоянного тока)</t>
        </is>
      </c>
      <c r="D23" s="371" t="inlineStr">
        <is>
          <t>маш.час</t>
        </is>
      </c>
      <c r="E23" s="444" t="n">
        <v>16.41</v>
      </c>
      <c r="F23" s="373" t="n">
        <v>8.1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20">
      <c r="A24" s="371" t="n"/>
      <c r="B24" s="371" t="n"/>
      <c r="C24" s="370" t="inlineStr">
        <is>
          <t>Итого основные машины и механизмы</t>
        </is>
      </c>
      <c r="D24" s="371" t="n"/>
      <c r="E24" s="443" t="n"/>
      <c r="F24" s="201" t="n"/>
      <c r="G24" s="201">
        <f>SUM(G20:G23)</f>
        <v/>
      </c>
      <c r="H24" s="374">
        <f>G24/G27</f>
        <v/>
      </c>
      <c r="I24" s="195" t="n"/>
      <c r="J24" s="201">
        <f>SUM(J20:J23)</f>
        <v/>
      </c>
    </row>
    <row r="25" outlineLevel="1" ht="25.5" customFormat="1" customHeight="1" s="320">
      <c r="A25" s="371" t="n">
        <v>7</v>
      </c>
      <c r="B25" s="270" t="inlineStr">
        <is>
          <t>91.21.16-012</t>
        </is>
      </c>
      <c r="C25" s="370" t="inlineStr">
        <is>
          <t>Прессы гидравлические с электроприводом</t>
        </is>
      </c>
      <c r="D25" s="371" t="inlineStr">
        <is>
          <t>маш.час</t>
        </is>
      </c>
      <c r="E25" s="444" t="n">
        <v>94.56</v>
      </c>
      <c r="F25" s="373" t="n">
        <v>1.11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0">
      <c r="A26" s="371" t="n"/>
      <c r="B26" s="371" t="n"/>
      <c r="C26" s="370" t="inlineStr">
        <is>
          <t>Итого прочие машины и механизмы</t>
        </is>
      </c>
      <c r="D26" s="371" t="n"/>
      <c r="E26" s="372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20">
      <c r="A27" s="371" t="n"/>
      <c r="B27" s="371" t="n"/>
      <c r="C27" s="359" t="inlineStr">
        <is>
          <t>Итого по разделу «Машины и механизмы»</t>
        </is>
      </c>
      <c r="D27" s="371" t="n"/>
      <c r="E27" s="372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20">
      <c r="A28" s="371" t="n"/>
      <c r="B28" s="359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194" t="n"/>
      <c r="J28" s="194" t="n"/>
    </row>
    <row r="29">
      <c r="A29" s="371" t="n"/>
      <c r="B29" s="370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194" t="n"/>
      <c r="J29" s="194" t="n"/>
      <c r="K29" s="320" t="n"/>
      <c r="L29" s="320" t="n"/>
    </row>
    <row r="30">
      <c r="A30" s="371" t="n"/>
      <c r="B30" s="371" t="n"/>
      <c r="C30" s="370" t="inlineStr">
        <is>
          <t>Итого основное оборудование</t>
        </is>
      </c>
      <c r="D30" s="371" t="n"/>
      <c r="E30" s="444" t="n"/>
      <c r="F30" s="373" t="n"/>
      <c r="G30" s="201" t="n">
        <v>0</v>
      </c>
      <c r="H30" s="203" t="n">
        <v>0</v>
      </c>
      <c r="I30" s="195" t="n"/>
      <c r="J30" s="201" t="n">
        <v>0</v>
      </c>
      <c r="K30" s="320" t="n"/>
      <c r="L30" s="320" t="n"/>
    </row>
    <row r="31">
      <c r="A31" s="371" t="n"/>
      <c r="B31" s="371" t="n"/>
      <c r="C31" s="370" t="inlineStr">
        <is>
          <t>Итого прочее оборудование</t>
        </is>
      </c>
      <c r="D31" s="371" t="n"/>
      <c r="E31" s="443" t="n"/>
      <c r="F31" s="373" t="n"/>
      <c r="G31" s="201" t="n">
        <v>0</v>
      </c>
      <c r="H31" s="203" t="n">
        <v>0</v>
      </c>
      <c r="I31" s="195" t="n"/>
      <c r="J31" s="201" t="n">
        <v>0</v>
      </c>
      <c r="K31" s="320" t="n"/>
      <c r="L31" s="320" t="n"/>
    </row>
    <row r="32">
      <c r="A32" s="371" t="n"/>
      <c r="B32" s="371" t="n"/>
      <c r="C32" s="359" t="inlineStr">
        <is>
          <t>Итого по разделу «Оборудование»</t>
        </is>
      </c>
      <c r="D32" s="371" t="n"/>
      <c r="E32" s="372" t="n"/>
      <c r="F32" s="373" t="n"/>
      <c r="G32" s="201">
        <f>G30+G31</f>
        <v/>
      </c>
      <c r="H32" s="203" t="n">
        <v>0</v>
      </c>
      <c r="I32" s="195" t="n"/>
      <c r="J32" s="201">
        <f>J31+J30</f>
        <v/>
      </c>
      <c r="K32" s="320" t="n"/>
      <c r="L32" s="320" t="n"/>
    </row>
    <row r="33" ht="25.5" customHeight="1" s="322">
      <c r="A33" s="371" t="n"/>
      <c r="B33" s="371" t="n"/>
      <c r="C33" s="370" t="inlineStr">
        <is>
          <t>в том числе технологическое оборудование</t>
        </is>
      </c>
      <c r="D33" s="371" t="n"/>
      <c r="E33" s="444" t="n"/>
      <c r="F33" s="373" t="n"/>
      <c r="G33" s="201">
        <f>'Прил.6 Расчет ОБ'!G12</f>
        <v/>
      </c>
      <c r="H33" s="374" t="n"/>
      <c r="I33" s="195" t="n"/>
      <c r="J33" s="201">
        <f>J32</f>
        <v/>
      </c>
      <c r="K33" s="320" t="n"/>
      <c r="L33" s="320" t="n"/>
    </row>
    <row r="34" ht="14.25" customFormat="1" customHeight="1" s="320">
      <c r="A34" s="371" t="n"/>
      <c r="B34" s="359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194" t="n"/>
      <c r="J34" s="194" t="n"/>
    </row>
    <row r="35" ht="14.25" customFormat="1" customHeight="1" s="320">
      <c r="A35" s="366" t="n"/>
      <c r="B35" s="365" t="inlineStr">
        <is>
          <t>Основные материалы</t>
        </is>
      </c>
      <c r="C35" s="445" t="n"/>
      <c r="D35" s="445" t="n"/>
      <c r="E35" s="445" t="n"/>
      <c r="F35" s="445" t="n"/>
      <c r="G35" s="445" t="n"/>
      <c r="H35" s="446" t="n"/>
      <c r="I35" s="209" t="n"/>
      <c r="J35" s="209" t="n"/>
    </row>
    <row r="36" ht="25.5" customFormat="1" customHeight="1" s="320">
      <c r="A36" s="371" t="n">
        <v>8</v>
      </c>
      <c r="B36" s="371" t="inlineStr">
        <is>
          <t>БЦ.91.197</t>
        </is>
      </c>
      <c r="C36" s="256" t="inlineStr">
        <is>
          <t>Муфта соединительная 220 кВ сечением 800 мм2</t>
        </is>
      </c>
      <c r="D36" s="371" t="inlineStr">
        <is>
          <t>шт</t>
        </is>
      </c>
      <c r="E36" s="444" t="n">
        <v>6</v>
      </c>
      <c r="F36" s="373">
        <f>ROUND(I36/'Прил. 10'!$D$13,2)</f>
        <v/>
      </c>
      <c r="G36" s="201">
        <f>ROUND(E36*F36,2)</f>
        <v/>
      </c>
      <c r="H36" s="203">
        <f>G36/$G$53</f>
        <v/>
      </c>
      <c r="I36" s="201" t="n">
        <v>811320.75</v>
      </c>
      <c r="J36" s="201">
        <f>ROUND(I36*E36,2)</f>
        <v/>
      </c>
    </row>
    <row r="37" ht="14.25" customFormat="1" customHeight="1" s="320">
      <c r="A37" s="382" t="n"/>
      <c r="B37" s="211" t="n"/>
      <c r="C37" s="279" t="inlineStr">
        <is>
          <t>Итого основные материалы</t>
        </is>
      </c>
      <c r="D37" s="382" t="n"/>
      <c r="E37" s="447" t="n"/>
      <c r="F37" s="215" t="n"/>
      <c r="G37" s="215">
        <f>SUM(G36:G36)</f>
        <v/>
      </c>
      <c r="H37" s="203">
        <f>G37/$G$53</f>
        <v/>
      </c>
      <c r="I37" s="201" t="n"/>
      <c r="J37" s="215">
        <f>SUM(J36:J36)</f>
        <v/>
      </c>
    </row>
    <row r="38" outlineLevel="1" ht="25.5" customFormat="1" customHeight="1" s="320">
      <c r="A38" s="371" t="n">
        <v>9</v>
      </c>
      <c r="B38" s="270" t="inlineStr">
        <is>
          <t>01.7.07.12-0022</t>
        </is>
      </c>
      <c r="C38" s="370" t="inlineStr">
        <is>
          <t>Пленка полиэтиленовая, толщина 0,2-0,5 мм</t>
        </is>
      </c>
      <c r="D38" s="371" t="inlineStr">
        <is>
          <t>м2</t>
        </is>
      </c>
      <c r="E38" s="444" t="n">
        <v>153.3</v>
      </c>
      <c r="F38" s="373" t="n">
        <v>12.19</v>
      </c>
      <c r="G38" s="201">
        <f>ROUND(E38*F38,2)</f>
        <v/>
      </c>
      <c r="H38" s="203">
        <f>G38/$G$53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20">
      <c r="A39" s="371" t="n">
        <v>10</v>
      </c>
      <c r="B39" s="270" t="inlineStr">
        <is>
          <t>01.3.02.01-0002</t>
        </is>
      </c>
      <c r="C39" s="370" t="inlineStr">
        <is>
          <t>Азот газообразный технический</t>
        </is>
      </c>
      <c r="D39" s="371" t="inlineStr">
        <is>
          <t>м3</t>
        </is>
      </c>
      <c r="E39" s="444" t="n">
        <v>207</v>
      </c>
      <c r="F39" s="373" t="n">
        <v>6.21</v>
      </c>
      <c r="G39" s="201">
        <f>ROUND(E39*F39,2)</f>
        <v/>
      </c>
      <c r="H39" s="203">
        <f>G39/$G$53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0">
      <c r="A40" s="371" t="n">
        <v>11</v>
      </c>
      <c r="B40" s="270" t="inlineStr">
        <is>
          <t>01.7.03.04-0001</t>
        </is>
      </c>
      <c r="C40" s="370" t="inlineStr">
        <is>
          <t>Электроэнергия</t>
        </is>
      </c>
      <c r="D40" s="371" t="inlineStr">
        <is>
          <t>кВт-ч</t>
        </is>
      </c>
      <c r="E40" s="444" t="n">
        <v>2081.67</v>
      </c>
      <c r="F40" s="373" t="n">
        <v>0.4</v>
      </c>
      <c r="G40" s="201">
        <f>ROUND(E40*F40,2)</f>
        <v/>
      </c>
      <c r="H40" s="203">
        <f>G40/$G$53</f>
        <v/>
      </c>
      <c r="I40" s="201">
        <f>ROUND(F40*'Прил. 10'!$D$13,2)</f>
        <v/>
      </c>
      <c r="J40" s="201">
        <f>ROUND(I40*E40,2)</f>
        <v/>
      </c>
    </row>
    <row r="41" outlineLevel="1" ht="25.5" customFormat="1" customHeight="1" s="320">
      <c r="A41" s="371" t="n">
        <v>12</v>
      </c>
      <c r="B41" s="270" t="inlineStr">
        <is>
          <t>10.3.02.03-0011</t>
        </is>
      </c>
      <c r="C41" s="370" t="inlineStr">
        <is>
          <t>Припои оловянно-свинцовые бессурьмянистые, марка ПОС30</t>
        </is>
      </c>
      <c r="D41" s="371" t="inlineStr">
        <is>
          <t>т</t>
        </is>
      </c>
      <c r="E41" s="444" t="n">
        <v>0.008999999999999999</v>
      </c>
      <c r="F41" s="373" t="n">
        <v>68050</v>
      </c>
      <c r="G41" s="201">
        <f>ROUND(E41*F41,2)</f>
        <v/>
      </c>
      <c r="H41" s="203">
        <f>G41/$G$53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20">
      <c r="A42" s="371" t="n">
        <v>13</v>
      </c>
      <c r="B42" s="270" t="inlineStr">
        <is>
          <t>01.7.20.08-0102</t>
        </is>
      </c>
      <c r="C42" s="370" t="inlineStr">
        <is>
          <t>Миткаль суровый</t>
        </is>
      </c>
      <c r="D42" s="371" t="inlineStr">
        <is>
          <t>10 м</t>
        </is>
      </c>
      <c r="E42" s="444" t="n">
        <v>7.5</v>
      </c>
      <c r="F42" s="373" t="n">
        <v>73.65000000000001</v>
      </c>
      <c r="G42" s="201">
        <f>ROUND(E42*F42,2)</f>
        <v/>
      </c>
      <c r="H42" s="203">
        <f>G42/$G$53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20">
      <c r="A43" s="371" t="n">
        <v>14</v>
      </c>
      <c r="B43" s="270" t="inlineStr">
        <is>
          <t>01.7.14.07-0071</t>
        </is>
      </c>
      <c r="C43" s="370" t="inlineStr">
        <is>
          <t>Пластикат листовой</t>
        </is>
      </c>
      <c r="D43" s="371" t="inlineStr">
        <is>
          <t>т</t>
        </is>
      </c>
      <c r="E43" s="444" t="n">
        <v>0.024</v>
      </c>
      <c r="F43" s="373" t="n">
        <v>19350</v>
      </c>
      <c r="G43" s="201">
        <f>ROUND(E43*F43,2)</f>
        <v/>
      </c>
      <c r="H43" s="203">
        <f>G43/$G$53</f>
        <v/>
      </c>
      <c r="I43" s="201">
        <f>ROUND(F43*'Прил. 10'!$D$13,2)</f>
        <v/>
      </c>
      <c r="J43" s="201">
        <f>ROUND(I43*E43,2)</f>
        <v/>
      </c>
    </row>
    <row r="44" outlineLevel="1" ht="38.25" customFormat="1" customHeight="1" s="320">
      <c r="A44" s="371" t="n">
        <v>15</v>
      </c>
      <c r="B44" s="270" t="inlineStr">
        <is>
          <t>11.1.03.05-0085</t>
        </is>
      </c>
      <c r="C44" s="370" t="inlineStr">
        <is>
          <t>Доска необрезная, хвойных пород, длина 4-6,5 м, все ширины, толщина 44 мм и более, сорт III</t>
        </is>
      </c>
      <c r="D44" s="371" t="inlineStr">
        <is>
          <t>м3</t>
        </is>
      </c>
      <c r="E44" s="444" t="n">
        <v>0.42</v>
      </c>
      <c r="F44" s="373" t="n">
        <v>684</v>
      </c>
      <c r="G44" s="201">
        <f>ROUND(E44*F44,2)</f>
        <v/>
      </c>
      <c r="H44" s="203">
        <f>G44/$G$53</f>
        <v/>
      </c>
      <c r="I44" s="201">
        <f>ROUND(F44*'Прил. 10'!$D$13,2)</f>
        <v/>
      </c>
      <c r="J44" s="201">
        <f>ROUND(I44*E44,2)</f>
        <v/>
      </c>
    </row>
    <row r="45" outlineLevel="1" ht="14.25" customFormat="1" customHeight="1" s="320">
      <c r="A45" s="371" t="n">
        <v>16</v>
      </c>
      <c r="B45" s="270" t="inlineStr">
        <is>
          <t>01.3.01.01-0001</t>
        </is>
      </c>
      <c r="C45" s="370" t="inlineStr">
        <is>
          <t>Бензин авиационный Б-70</t>
        </is>
      </c>
      <c r="D45" s="371" t="inlineStr">
        <is>
          <t>т</t>
        </is>
      </c>
      <c r="E45" s="444" t="n">
        <v>0.06</v>
      </c>
      <c r="F45" s="373" t="n">
        <v>4488.4</v>
      </c>
      <c r="G45" s="201">
        <f>ROUND(E45*F45,2)</f>
        <v/>
      </c>
      <c r="H45" s="203">
        <f>G45/$G$53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20">
      <c r="A46" s="371" t="n">
        <v>17</v>
      </c>
      <c r="B46" s="270" t="inlineStr">
        <is>
          <t>01.7.20.08-0021</t>
        </is>
      </c>
      <c r="C46" s="370" t="inlineStr">
        <is>
          <t>Брезент</t>
        </is>
      </c>
      <c r="D46" s="371" t="inlineStr">
        <is>
          <t>м2</t>
        </is>
      </c>
      <c r="E46" s="444" t="n">
        <v>6</v>
      </c>
      <c r="F46" s="373" t="n">
        <v>37.43</v>
      </c>
      <c r="G46" s="201">
        <f>ROUND(E46*F46,2)</f>
        <v/>
      </c>
      <c r="H46" s="203">
        <f>G46/$G$53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20">
      <c r="A47" s="371" t="n">
        <v>18</v>
      </c>
      <c r="B47" s="270" t="inlineStr">
        <is>
          <t>01.7.11.07-0034</t>
        </is>
      </c>
      <c r="C47" s="370" t="inlineStr">
        <is>
          <t>Электроды сварочные Э42А, диаметр 4 мм</t>
        </is>
      </c>
      <c r="D47" s="371" t="inlineStr">
        <is>
          <t>кг</t>
        </is>
      </c>
      <c r="E47" s="444" t="n">
        <v>20.7</v>
      </c>
      <c r="F47" s="373" t="n">
        <v>10.57</v>
      </c>
      <c r="G47" s="201">
        <f>ROUND(E47*F47,2)</f>
        <v/>
      </c>
      <c r="H47" s="203">
        <f>G47/$G$53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20">
      <c r="A48" s="371" t="n">
        <v>19</v>
      </c>
      <c r="B48" s="270" t="inlineStr">
        <is>
          <t>01.1.02.02-0022</t>
        </is>
      </c>
      <c r="C48" s="370" t="inlineStr">
        <is>
          <t>Бумага асбестовая электроизоляционная БЭ, толщина 0,2 мм</t>
        </is>
      </c>
      <c r="D48" s="371" t="inlineStr">
        <is>
          <t>т</t>
        </is>
      </c>
      <c r="E48" s="444" t="n">
        <v>0.006</v>
      </c>
      <c r="F48" s="373" t="n">
        <v>11549</v>
      </c>
      <c r="G48" s="201">
        <f>ROUND(E48*F48,2)</f>
        <v/>
      </c>
      <c r="H48" s="203">
        <f>G48/$G$53</f>
        <v/>
      </c>
      <c r="I48" s="201">
        <f>ROUND(F48*'Прил. 10'!$D$13,2)</f>
        <v/>
      </c>
      <c r="J48" s="201">
        <f>ROUND(I48*E48,2)</f>
        <v/>
      </c>
    </row>
    <row r="49" outlineLevel="1" ht="38.25" customFormat="1" customHeight="1" s="320">
      <c r="A49" s="371" t="n">
        <v>20</v>
      </c>
      <c r="B49" s="270" t="inlineStr">
        <is>
          <t>01.7.06.05-0041</t>
        </is>
      </c>
      <c r="C49" s="370" t="inlineStr">
        <is>
          <t>Лента изоляционная прорезиненная односторонняя, ширина 20 мм, толщина 0,25-0,35 мм</t>
        </is>
      </c>
      <c r="D49" s="371" t="inlineStr">
        <is>
          <t>кг</t>
        </is>
      </c>
      <c r="E49" s="444" t="n">
        <v>1.2</v>
      </c>
      <c r="F49" s="373" t="n">
        <v>30.4</v>
      </c>
      <c r="G49" s="201">
        <f>ROUND(E49*F49,2)</f>
        <v/>
      </c>
      <c r="H49" s="203">
        <f>G49/$G$53</f>
        <v/>
      </c>
      <c r="I49" s="201">
        <f>ROUND(F49*'Прил. 10'!$D$13,2)</f>
        <v/>
      </c>
      <c r="J49" s="201">
        <f>ROUND(I49*E49,2)</f>
        <v/>
      </c>
    </row>
    <row r="50" outlineLevel="1" ht="38.25" customFormat="1" customHeight="1" s="320">
      <c r="A50" s="371" t="n">
        <v>21</v>
      </c>
      <c r="B50" s="270" t="inlineStr">
        <is>
          <t>10.2.02.08-0001</t>
        </is>
      </c>
      <c r="C50" s="370" t="inlineStr">
        <is>
          <t>Проволока медная, круглая, мягкая, электротехническая, диаметр 1,0-3,0 мм и выше</t>
        </is>
      </c>
      <c r="D50" s="371" t="inlineStr">
        <is>
          <t>т</t>
        </is>
      </c>
      <c r="E50" s="444" t="n">
        <v>0.0009</v>
      </c>
      <c r="F50" s="373" t="n">
        <v>37517</v>
      </c>
      <c r="G50" s="201">
        <f>ROUND(E50*F50,2)</f>
        <v/>
      </c>
      <c r="H50" s="203">
        <f>G50/$G$53</f>
        <v/>
      </c>
      <c r="I50" s="201">
        <f>ROUND(F50*'Прил. 10'!$D$13,2)</f>
        <v/>
      </c>
      <c r="J50" s="201">
        <f>ROUND(I50*E50,2)</f>
        <v/>
      </c>
    </row>
    <row r="51" outlineLevel="1" ht="25.5" customFormat="1" customHeight="1" s="320">
      <c r="A51" s="371" t="n">
        <v>22</v>
      </c>
      <c r="B51" s="270" t="inlineStr">
        <is>
          <t>01.3.01.07-0009</t>
        </is>
      </c>
      <c r="C51" s="370" t="inlineStr">
        <is>
          <t>Спирт этиловый ректификованный технический, сорт I</t>
        </is>
      </c>
      <c r="D51" s="371" t="inlineStr">
        <is>
          <t>кг</t>
        </is>
      </c>
      <c r="E51" s="444" t="n">
        <v>0.72</v>
      </c>
      <c r="F51" s="373" t="n">
        <v>38.89</v>
      </c>
      <c r="G51" s="201">
        <f>ROUND(E51*F51,2)</f>
        <v/>
      </c>
      <c r="H51" s="203">
        <f>G51/$G$53</f>
        <v/>
      </c>
      <c r="I51" s="201">
        <f>ROUND(F51*'Прил. 10'!$D$13,2)</f>
        <v/>
      </c>
      <c r="J51" s="201">
        <f>ROUND(I51*E51,2)</f>
        <v/>
      </c>
    </row>
    <row r="52" ht="14.25" customFormat="1" customHeight="1" s="320">
      <c r="A52" s="382" t="n"/>
      <c r="B52" s="382" t="n"/>
      <c r="C52" s="279" t="inlineStr">
        <is>
          <t>Итого прочие материалы</t>
        </is>
      </c>
      <c r="D52" s="382" t="n"/>
      <c r="E52" s="447" t="n"/>
      <c r="F52" s="280" t="n"/>
      <c r="G52" s="215">
        <f>SUM(G38:G51)</f>
        <v/>
      </c>
      <c r="H52" s="203">
        <f>G52/$G$53</f>
        <v/>
      </c>
      <c r="I52" s="201" t="n"/>
      <c r="J52" s="201">
        <f>SUM(J38:J51)</f>
        <v/>
      </c>
    </row>
    <row r="53" ht="14.25" customFormat="1" customHeight="1" s="320">
      <c r="A53" s="371" t="n"/>
      <c r="B53" s="371" t="n"/>
      <c r="C53" s="359" t="inlineStr">
        <is>
          <t>Итого по разделу «Материалы»</t>
        </is>
      </c>
      <c r="D53" s="371" t="n"/>
      <c r="E53" s="372" t="n"/>
      <c r="F53" s="373" t="n"/>
      <c r="G53" s="201">
        <f>G37+G52</f>
        <v/>
      </c>
      <c r="H53" s="374">
        <f>G53/$G$53</f>
        <v/>
      </c>
      <c r="I53" s="201" t="n"/>
      <c r="J53" s="201">
        <f>J37+J52</f>
        <v/>
      </c>
    </row>
    <row r="54" ht="14.25" customFormat="1" customHeight="1" s="320">
      <c r="A54" s="371" t="n"/>
      <c r="B54" s="371" t="n"/>
      <c r="C54" s="370" t="inlineStr">
        <is>
          <t>ИТОГО ПО РМ</t>
        </is>
      </c>
      <c r="D54" s="371" t="n"/>
      <c r="E54" s="372" t="n"/>
      <c r="F54" s="373" t="n"/>
      <c r="G54" s="201">
        <f>G15+G27+G53</f>
        <v/>
      </c>
      <c r="H54" s="374" t="n"/>
      <c r="I54" s="201" t="n"/>
      <c r="J54" s="201">
        <f>J15+J27+J53</f>
        <v/>
      </c>
    </row>
    <row r="55" ht="14.25" customFormat="1" customHeight="1" s="320">
      <c r="A55" s="371" t="n"/>
      <c r="B55" s="371" t="n"/>
      <c r="C55" s="370" t="inlineStr">
        <is>
          <t>Накладные расходы</t>
        </is>
      </c>
      <c r="D55" s="197">
        <f>ROUND(G55/(G$17+$G$15),2)</f>
        <v/>
      </c>
      <c r="E55" s="372" t="n"/>
      <c r="F55" s="373" t="n"/>
      <c r="G55" s="201" t="n">
        <v>8847.620000000001</v>
      </c>
      <c r="H55" s="374" t="n"/>
      <c r="I55" s="201" t="n"/>
      <c r="J55" s="201">
        <f>ROUND(D55*(J15+J17),2)</f>
        <v/>
      </c>
    </row>
    <row r="56" ht="14.25" customFormat="1" customHeight="1" s="320">
      <c r="A56" s="371" t="n"/>
      <c r="B56" s="371" t="n"/>
      <c r="C56" s="370" t="inlineStr">
        <is>
          <t>Сметная прибыль</t>
        </is>
      </c>
      <c r="D56" s="197">
        <f>ROUND(G56/(G$15+G$17),2)</f>
        <v/>
      </c>
      <c r="E56" s="372" t="n"/>
      <c r="F56" s="373" t="n"/>
      <c r="G56" s="201" t="n">
        <v>4651.84</v>
      </c>
      <c r="H56" s="374" t="n"/>
      <c r="I56" s="201" t="n"/>
      <c r="J56" s="201">
        <f>ROUND(D56*(J15+J17),2)</f>
        <v/>
      </c>
    </row>
    <row r="57" ht="14.25" customFormat="1" customHeight="1" s="320">
      <c r="A57" s="371" t="n"/>
      <c r="B57" s="371" t="n"/>
      <c r="C57" s="370" t="inlineStr">
        <is>
          <t>Итого СМР (с НР и СП)</t>
        </is>
      </c>
      <c r="D57" s="371" t="n"/>
      <c r="E57" s="372" t="n"/>
      <c r="F57" s="373" t="n"/>
      <c r="G57" s="201">
        <f>G15+G27+G53+G55+G56</f>
        <v/>
      </c>
      <c r="H57" s="374" t="n"/>
      <c r="I57" s="201" t="n"/>
      <c r="J57" s="201">
        <f>J15+J27+J53+J55+J56</f>
        <v/>
      </c>
    </row>
    <row r="58" ht="14.25" customFormat="1" customHeight="1" s="320">
      <c r="A58" s="371" t="n"/>
      <c r="B58" s="371" t="n"/>
      <c r="C58" s="370" t="inlineStr">
        <is>
          <t>ВСЕГО СМР + ОБОРУДОВАНИЕ</t>
        </is>
      </c>
      <c r="D58" s="371" t="n"/>
      <c r="E58" s="372" t="n"/>
      <c r="F58" s="373" t="n"/>
      <c r="G58" s="201">
        <f>G57+G32</f>
        <v/>
      </c>
      <c r="H58" s="374" t="n"/>
      <c r="I58" s="201" t="n"/>
      <c r="J58" s="201">
        <f>J57+J32</f>
        <v/>
      </c>
    </row>
    <row r="59" ht="34.5" customFormat="1" customHeight="1" s="320">
      <c r="A59" s="371" t="n"/>
      <c r="B59" s="371" t="n"/>
      <c r="C59" s="370" t="inlineStr">
        <is>
          <t>ИТОГО ПОКАЗАТЕЛЬ НА ЕД. ИЗМ.</t>
        </is>
      </c>
      <c r="D59" s="371" t="inlineStr">
        <is>
          <t>1 ед</t>
        </is>
      </c>
      <c r="E59" s="444" t="n">
        <v>1</v>
      </c>
      <c r="F59" s="373" t="n"/>
      <c r="G59" s="201">
        <f>G58/E59</f>
        <v/>
      </c>
      <c r="H59" s="374" t="n"/>
      <c r="I59" s="201" t="n"/>
      <c r="J59" s="201">
        <f>J58/E59</f>
        <v/>
      </c>
    </row>
    <row r="61" ht="14.25" customFormat="1" customHeight="1" s="320">
      <c r="A61" s="319" t="inlineStr">
        <is>
          <t>Составил ______________________    А.Р. Маркова</t>
        </is>
      </c>
    </row>
    <row r="62" ht="14.25" customFormat="1" customHeight="1" s="320">
      <c r="A62" s="321" t="inlineStr">
        <is>
          <t xml:space="preserve">                         (подпись, инициалы, фамилия)</t>
        </is>
      </c>
    </row>
    <row r="63" ht="14.25" customFormat="1" customHeight="1" s="320">
      <c r="A63" s="319" t="n"/>
    </row>
    <row r="64" ht="14.25" customFormat="1" customHeight="1" s="320">
      <c r="A64" s="319" t="inlineStr">
        <is>
          <t>Проверил ______________________        А.В. Костянецкая</t>
        </is>
      </c>
    </row>
    <row r="65" ht="14.25" customFormat="1" customHeight="1" s="320">
      <c r="A65" s="32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  <rowBreaks count="1" manualBreakCount="1">
    <brk id="5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6" sqref="D16"/>
    </sheetView>
  </sheetViews>
  <sheetFormatPr baseColWidth="8" defaultRowHeight="14.4"/>
  <cols>
    <col width="5.6640625" customWidth="1" style="322" min="1" max="1"/>
    <col width="17.664062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4" t="inlineStr">
        <is>
          <t>Приложение №6</t>
        </is>
      </c>
    </row>
    <row r="2" ht="21.75" customHeight="1" s="322">
      <c r="A2" s="384" t="n"/>
      <c r="B2" s="384" t="n"/>
      <c r="C2" s="384" t="n"/>
      <c r="D2" s="384" t="n"/>
      <c r="E2" s="384" t="n"/>
      <c r="F2" s="384" t="n"/>
      <c r="G2" s="384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220 кВ сечением 800 мм2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.15" customHeight="1" s="322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39" t="n"/>
      <c r="B9" s="37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2">
      <c r="A10" s="371" t="n"/>
      <c r="B10" s="359" t="n"/>
      <c r="C10" s="370" t="inlineStr">
        <is>
          <t>ИТОГО ИНЖЕНЕРНОЕ ОБОРУДОВАНИЕ</t>
        </is>
      </c>
      <c r="D10" s="359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2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1" t="n">
        <v>0</v>
      </c>
    </row>
    <row r="13" ht="19.5" customHeight="1" s="322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1">
        <f>G10+G12</f>
        <v/>
      </c>
    </row>
    <row r="14">
      <c r="A14" s="302" t="n"/>
      <c r="B14" s="303" t="n"/>
      <c r="C14" s="302" t="n"/>
      <c r="D14" s="302" t="n"/>
      <c r="E14" s="302" t="n"/>
      <c r="F14" s="302" t="n"/>
      <c r="G14" s="302" t="n"/>
    </row>
    <row r="15">
      <c r="A15" s="319" t="inlineStr">
        <is>
          <t>Составил ______________________    А.Р. Маркова</t>
        </is>
      </c>
      <c r="B15" s="320" t="n"/>
      <c r="C15" s="320" t="n"/>
      <c r="D15" s="302" t="n"/>
      <c r="E15" s="302" t="n"/>
      <c r="F15" s="302" t="n"/>
      <c r="G15" s="302" t="n"/>
    </row>
    <row r="16">
      <c r="A16" s="321" t="inlineStr">
        <is>
          <t xml:space="preserve">                         (подпись, инициалы, фамилия)</t>
        </is>
      </c>
      <c r="B16" s="320" t="n"/>
      <c r="C16" s="320" t="n"/>
      <c r="D16" s="302" t="n"/>
      <c r="E16" s="302" t="n"/>
      <c r="F16" s="302" t="n"/>
      <c r="G16" s="302" t="n"/>
    </row>
    <row r="17">
      <c r="A17" s="319" t="n"/>
      <c r="B17" s="320" t="n"/>
      <c r="C17" s="320" t="n"/>
      <c r="D17" s="302" t="n"/>
      <c r="E17" s="302" t="n"/>
      <c r="F17" s="302" t="n"/>
      <c r="G17" s="302" t="n"/>
    </row>
    <row r="18">
      <c r="A18" s="319" t="inlineStr">
        <is>
          <t>Проверил ______________________        А.В. Костянецкая</t>
        </is>
      </c>
      <c r="B18" s="320" t="n"/>
      <c r="C18" s="320" t="n"/>
      <c r="D18" s="302" t="n"/>
      <c r="E18" s="302" t="n"/>
      <c r="F18" s="302" t="n"/>
      <c r="G18" s="302" t="n"/>
    </row>
    <row r="19">
      <c r="A19" s="321" t="inlineStr">
        <is>
          <t xml:space="preserve">                        (подпись, инициалы, фамилия)</t>
        </is>
      </c>
      <c r="B19" s="320" t="n"/>
      <c r="C19" s="320" t="n"/>
      <c r="D19" s="302" t="n"/>
      <c r="E19" s="302" t="n"/>
      <c r="F19" s="302" t="n"/>
      <c r="G19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2" min="1" max="1"/>
    <col width="29.6640625" customWidth="1" style="322" min="2" max="2"/>
    <col width="39.109375" customWidth="1" style="322" min="3" max="3"/>
    <col width="48.109375" customWidth="1" style="322" min="4" max="4"/>
    <col width="8.88671875" customWidth="1" style="322" min="5" max="5"/>
  </cols>
  <sheetData>
    <row r="1">
      <c r="B1" s="319" t="n"/>
      <c r="C1" s="319" t="n"/>
      <c r="D1" s="384" t="inlineStr">
        <is>
          <t>Приложение №7</t>
        </is>
      </c>
    </row>
    <row r="2" ht="25.95" customHeight="1" s="322">
      <c r="A2" s="384" t="n"/>
      <c r="B2" s="384" t="n"/>
      <c r="C2" s="384" t="n"/>
      <c r="D2" s="384" t="n"/>
    </row>
    <row r="3" ht="24.75" customHeight="1" s="322">
      <c r="A3" s="344" t="inlineStr">
        <is>
          <t>Расчет показателя УНЦ</t>
        </is>
      </c>
    </row>
    <row r="4" ht="24.75" customHeight="1" s="322">
      <c r="A4" s="344" t="n"/>
      <c r="B4" s="344" t="n"/>
      <c r="C4" s="344" t="n"/>
      <c r="D4" s="344" t="n"/>
    </row>
    <row r="5" ht="24.6" customHeight="1" s="32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5" customHeight="1" s="322">
      <c r="A6" s="347" t="inlineStr">
        <is>
          <t>Единица измерения  — 1 ед</t>
        </is>
      </c>
      <c r="D6" s="347" t="n"/>
    </row>
    <row r="7">
      <c r="A7" s="319" t="n"/>
      <c r="B7" s="319" t="n"/>
      <c r="C7" s="319" t="n"/>
      <c r="D7" s="319" t="n"/>
    </row>
    <row r="8" ht="14.4" customHeight="1" s="322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22">
      <c r="A9" s="438" t="n"/>
      <c r="B9" s="438" t="n"/>
      <c r="C9" s="438" t="n"/>
      <c r="D9" s="43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" customHeight="1" s="322">
      <c r="A11" s="371" t="inlineStr">
        <is>
          <t>К1-13-6</t>
        </is>
      </c>
      <c r="B11" s="371" t="inlineStr">
        <is>
          <t>УНЦ КЛ 6-500 кВ (с алюминиевой жилой)</t>
        </is>
      </c>
      <c r="C11" s="299">
        <f>D5</f>
        <v/>
      </c>
      <c r="D11" s="300">
        <f>'Прил.4 РМ'!C41/1000</f>
        <v/>
      </c>
      <c r="E11" s="301" t="n"/>
    </row>
    <row r="12">
      <c r="A12" s="302" t="n"/>
      <c r="B12" s="303" t="n"/>
      <c r="C12" s="302" t="n"/>
      <c r="D12" s="302" t="n"/>
    </row>
    <row r="13">
      <c r="A13" s="319" t="inlineStr">
        <is>
          <t>Составил ______________________      А.Р. Маркова</t>
        </is>
      </c>
      <c r="B13" s="320" t="n"/>
      <c r="C13" s="320" t="n"/>
      <c r="D13" s="302" t="n"/>
    </row>
    <row r="14">
      <c r="A14" s="321" t="inlineStr">
        <is>
          <t xml:space="preserve">                         (подпись, инициалы, фамилия)</t>
        </is>
      </c>
      <c r="B14" s="320" t="n"/>
      <c r="C14" s="320" t="n"/>
      <c r="D14" s="302" t="n"/>
    </row>
    <row r="15">
      <c r="A15" s="319" t="n"/>
      <c r="B15" s="320" t="n"/>
      <c r="C15" s="320" t="n"/>
      <c r="D15" s="302" t="n"/>
    </row>
    <row r="16">
      <c r="A16" s="319" t="inlineStr">
        <is>
          <t>Проверил ______________________        А.В. Костянецкая</t>
        </is>
      </c>
      <c r="B16" s="320" t="n"/>
      <c r="C16" s="320" t="n"/>
      <c r="D16" s="302" t="n"/>
    </row>
    <row r="17">
      <c r="A17" s="321" t="inlineStr">
        <is>
          <t xml:space="preserve">                        (подпись, инициалы, фамилия)</t>
        </is>
      </c>
      <c r="B17" s="320" t="n"/>
      <c r="C17" s="320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22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1" t="inlineStr">
        <is>
          <t>Приложение № 10</t>
        </is>
      </c>
    </row>
    <row r="5" ht="18.75" customHeight="1" s="322">
      <c r="B5" s="166" t="n"/>
    </row>
    <row r="6" ht="15.75" customHeight="1" s="322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2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2">
      <c r="B10" s="356" t="n">
        <v>1</v>
      </c>
      <c r="C10" s="356" t="n">
        <v>2</v>
      </c>
      <c r="D10" s="356" t="n">
        <v>3</v>
      </c>
    </row>
    <row r="11" ht="45" customHeight="1" s="322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2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22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22">
      <c r="B14" s="356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22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2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2">
      <c r="B17" s="356" t="inlineStr">
        <is>
          <t>Пусконаладочные работы*</t>
        </is>
      </c>
      <c r="C17" s="356" t="n"/>
      <c r="D17" s="169" t="inlineStr">
        <is>
          <t>Расчет</t>
        </is>
      </c>
    </row>
    <row r="18" ht="31.65" customHeight="1" s="322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2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69" t="n">
        <v>0.002</v>
      </c>
    </row>
    <row r="20" ht="24" customHeight="1" s="322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69" t="n">
        <v>0.03</v>
      </c>
    </row>
    <row r="21" ht="18.75" customHeight="1" s="322">
      <c r="B21" s="253" t="n"/>
    </row>
    <row r="22" ht="18.75" customHeight="1" s="322">
      <c r="B22" s="253" t="n"/>
    </row>
    <row r="23" ht="18.75" customHeight="1" s="322">
      <c r="B23" s="253" t="n"/>
    </row>
    <row r="24" ht="18.75" customHeight="1" s="322">
      <c r="B24" s="253" t="n"/>
    </row>
    <row r="27">
      <c r="B27" s="319" t="inlineStr">
        <is>
          <t>Составил ______________________        Е.А. Князева</t>
        </is>
      </c>
      <c r="C27" s="320" t="n"/>
    </row>
    <row r="28">
      <c r="B28" s="321" t="inlineStr">
        <is>
          <t xml:space="preserve">                         (подпись, инициалы, фамилия)</t>
        </is>
      </c>
      <c r="C28" s="320" t="n"/>
    </row>
    <row r="29">
      <c r="B29" s="319" t="n"/>
      <c r="C29" s="320" t="n"/>
    </row>
    <row r="30">
      <c r="B30" s="319" t="inlineStr">
        <is>
          <t>Проверил ______________________        А.В. Костянецкая</t>
        </is>
      </c>
      <c r="C30" s="320" t="n"/>
    </row>
    <row r="31">
      <c r="B31" s="321" t="inlineStr">
        <is>
          <t xml:space="preserve">                        (подпись, инициалы, фамилия)</t>
        </is>
      </c>
      <c r="C31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6" t="n"/>
      <c r="D10" s="356" t="n"/>
      <c r="E10" s="448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2025-01-24T12:04:13Z</dcterms:modified>
  <cp:lastModifiedBy>user1</cp:lastModifiedBy>
</cp:coreProperties>
</file>