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0752" windowHeight="5376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3'!$A$1:$H$35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ОБ'!$A$1:$J$57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43" fontId="2" fillId="0" borderId="1" applyAlignment="1" pivotButton="0" quotePrefix="0" xfId="0">
      <alignment vertical="center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166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167" fontId="16" fillId="0" borderId="0" pivotButton="0" quotePrefix="0" xfId="0"/>
    <xf numFmtId="10" fontId="20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49" fontId="16" fillId="0" borderId="1" applyAlignment="1" pivotButton="0" quotePrefix="1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6" fillId="0" borderId="0" pivotButton="0" quotePrefix="0" xfId="0"/>
    <xf numFmtId="4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tabSelected="1" view="pageBreakPreview" topLeftCell="A15" zoomScale="70" zoomScaleNormal="55" workbookViewId="0">
      <selection activeCell="D28" sqref="D28"/>
    </sheetView>
  </sheetViews>
  <sheetFormatPr baseColWidth="8" defaultColWidth="9.109375" defaultRowHeight="15.6"/>
  <cols>
    <col width="9.109375" customWidth="1" style="214" min="1" max="2"/>
    <col width="51.6640625" customWidth="1" style="214" min="3" max="3"/>
    <col width="47" customWidth="1" style="214" min="4" max="4"/>
    <col width="37.44140625" customWidth="1" style="214" min="5" max="5"/>
    <col width="9.109375" customWidth="1" style="214" min="6" max="6"/>
  </cols>
  <sheetData>
    <row r="3">
      <c r="B3" s="241" t="inlineStr">
        <is>
          <t>Приложение № 1</t>
        </is>
      </c>
    </row>
    <row r="4">
      <c r="B4" s="242" t="inlineStr">
        <is>
          <t>Сравнительная таблица отбора объекта-представителя</t>
        </is>
      </c>
    </row>
    <row r="5" ht="84.15000000000001" customHeight="1" s="212">
      <c r="B5" s="24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12">
      <c r="B6" s="166" t="n"/>
      <c r="C6" s="166" t="n"/>
      <c r="D6" s="166" t="n"/>
    </row>
    <row r="7" ht="64.5" customHeight="1" s="212">
      <c r="B7" s="243" t="inlineStr">
        <is>
          <t>Наименование разрабатываемого показателя УНЦ - КЛ 500 кВ (с алюминиевой жилой) сечение жилы 800 мм2</t>
        </is>
      </c>
    </row>
    <row r="8" ht="31.65" customHeight="1" s="212">
      <c r="B8" s="243" t="inlineStr">
        <is>
          <t>Сопоставимый уровень цен: 4 квартал 2016 г</t>
        </is>
      </c>
    </row>
    <row r="9" ht="15.75" customHeight="1" s="212">
      <c r="B9" s="243" t="inlineStr">
        <is>
          <t>Единица измерения  — 1 км</t>
        </is>
      </c>
    </row>
    <row r="10">
      <c r="B10" s="243" t="n"/>
    </row>
    <row r="11">
      <c r="B11" s="246" t="inlineStr">
        <is>
          <t>№ п/п</t>
        </is>
      </c>
      <c r="C11" s="246" t="inlineStr">
        <is>
          <t>Параметр</t>
        </is>
      </c>
      <c r="D11" s="246" t="inlineStr">
        <is>
          <t xml:space="preserve">Объект-представитель </t>
        </is>
      </c>
      <c r="E11" s="147" t="n"/>
    </row>
    <row r="12" ht="96.75" customHeight="1" s="212">
      <c r="B12" s="246" t="n">
        <v>1</v>
      </c>
      <c r="C12" s="226" t="inlineStr">
        <is>
          <t>Наименование объекта-представителя</t>
        </is>
      </c>
      <c r="D12" s="246" t="inlineStr">
        <is>
          <t>Комплексное техническое перевооружение и реконструкция ПС 500 кВ Очаково. Корректировка</t>
        </is>
      </c>
    </row>
    <row r="13">
      <c r="B13" s="246" t="n">
        <v>2</v>
      </c>
      <c r="C13" s="226" t="inlineStr">
        <is>
          <t>Наименование субъекта Российской Федерации</t>
        </is>
      </c>
      <c r="D13" s="246" t="inlineStr">
        <is>
          <t>Москва</t>
        </is>
      </c>
    </row>
    <row r="14">
      <c r="B14" s="246" t="n">
        <v>3</v>
      </c>
      <c r="C14" s="226" t="inlineStr">
        <is>
          <t>Климатический район и подрайон</t>
        </is>
      </c>
      <c r="D14" s="246" t="inlineStr">
        <is>
          <t>IIВ</t>
        </is>
      </c>
    </row>
    <row r="15">
      <c r="B15" s="246" t="n">
        <v>4</v>
      </c>
      <c r="C15" s="226" t="inlineStr">
        <is>
          <t>Мощность объекта</t>
        </is>
      </c>
      <c r="D15" s="246" t="n">
        <v>1</v>
      </c>
    </row>
    <row r="16" ht="116.4" customHeight="1" s="212">
      <c r="B16" s="246" t="n">
        <v>5</v>
      </c>
      <c r="C16" s="11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46" t="inlineStr">
        <is>
          <t>Кабель алюминиевый 500кВ 3х800</t>
        </is>
      </c>
    </row>
    <row r="17" ht="79.5" customHeight="1" s="212">
      <c r="B17" s="246" t="n">
        <v>6</v>
      </c>
      <c r="C17" s="11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09" t="n">
        <v>3706.299425</v>
      </c>
      <c r="E17" s="165" t="n"/>
    </row>
    <row r="18">
      <c r="B18" s="146" t="inlineStr">
        <is>
          <t>6.1</t>
        </is>
      </c>
      <c r="C18" s="226" t="inlineStr">
        <is>
          <t>строительно-монтажные работы</t>
        </is>
      </c>
      <c r="D18" s="209" t="n">
        <v>3706.299425</v>
      </c>
    </row>
    <row r="19" ht="15.75" customHeight="1" s="212">
      <c r="B19" s="146" t="inlineStr">
        <is>
          <t>6.2</t>
        </is>
      </c>
      <c r="C19" s="226" t="inlineStr">
        <is>
          <t>оборудование и инвентарь</t>
        </is>
      </c>
      <c r="D19" s="246" t="inlineStr">
        <is>
          <t>-</t>
        </is>
      </c>
    </row>
    <row r="20" ht="16.5" customHeight="1" s="212">
      <c r="B20" s="146" t="inlineStr">
        <is>
          <t>6.3</t>
        </is>
      </c>
      <c r="C20" s="226" t="inlineStr">
        <is>
          <t>пусконаладочные работы</t>
        </is>
      </c>
      <c r="D20" s="246" t="inlineStr">
        <is>
          <t>-</t>
        </is>
      </c>
    </row>
    <row r="21" ht="35.4" customHeight="1" s="212">
      <c r="B21" s="146" t="inlineStr">
        <is>
          <t>6.4</t>
        </is>
      </c>
      <c r="C21" s="145" t="inlineStr">
        <is>
          <t>прочие и лимитированные затраты</t>
        </is>
      </c>
      <c r="D21" s="246" t="inlineStr">
        <is>
          <t>-</t>
        </is>
      </c>
    </row>
    <row r="22">
      <c r="B22" s="246" t="n">
        <v>7</v>
      </c>
      <c r="C22" s="145" t="inlineStr">
        <is>
          <t>Сопоставимый уровень цен</t>
        </is>
      </c>
      <c r="D22" s="246" t="inlineStr">
        <is>
          <t>4 квартал 2016 г</t>
        </is>
      </c>
      <c r="E22" s="143" t="n"/>
    </row>
    <row r="23" ht="123" customHeight="1" s="212">
      <c r="B23" s="246" t="n">
        <v>8</v>
      </c>
      <c r="C23" s="14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09" t="n">
        <v>3706.299425</v>
      </c>
      <c r="E23" s="165" t="n"/>
    </row>
    <row r="24" ht="60.75" customHeight="1" s="212">
      <c r="B24" s="246" t="n">
        <v>9</v>
      </c>
      <c r="C24" s="111" t="inlineStr">
        <is>
          <t>Приведенная сметная стоимость на единицу мощности, тыс. руб. (строка 8/строку 4)</t>
        </is>
      </c>
      <c r="D24" s="209" t="n">
        <v>3706.299425</v>
      </c>
      <c r="E24" s="143" t="n"/>
    </row>
    <row r="25" ht="48.15" customHeight="1" s="212">
      <c r="B25" s="246" t="n">
        <v>10</v>
      </c>
      <c r="C25" s="226" t="inlineStr">
        <is>
          <t>Примечание</t>
        </is>
      </c>
      <c r="D25" s="246" t="n"/>
    </row>
    <row r="26">
      <c r="B26" s="142" t="n"/>
      <c r="C26" s="141" t="n"/>
      <c r="D26" s="141" t="n"/>
    </row>
    <row r="27" ht="37.5" customHeight="1" s="212">
      <c r="B27" s="140" t="n"/>
    </row>
    <row r="28">
      <c r="B28" s="214" t="inlineStr">
        <is>
          <t>Составил ______________________    А.Р. Маркова</t>
        </is>
      </c>
    </row>
    <row r="29">
      <c r="B29" s="140" t="inlineStr">
        <is>
          <t xml:space="preserve">                         (подпись, инициалы, фамилия)</t>
        </is>
      </c>
    </row>
    <row r="31">
      <c r="B31" s="214" t="inlineStr">
        <is>
          <t>Проверил ______________________        А.В. Костянецкая</t>
        </is>
      </c>
    </row>
    <row r="32">
      <c r="B32" s="140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6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L22"/>
  <sheetViews>
    <sheetView view="pageBreakPreview" zoomScale="70" zoomScaleNormal="70" workbookViewId="0">
      <selection activeCell="E17" sqref="E17"/>
    </sheetView>
  </sheetViews>
  <sheetFormatPr baseColWidth="8" defaultColWidth="9.109375" defaultRowHeight="15.6"/>
  <cols>
    <col width="5.5546875" customWidth="1" style="214" min="1" max="1"/>
    <col width="9.109375" customWidth="1" style="214" min="2" max="2"/>
    <col width="37.5546875" customWidth="1" style="214" min="3" max="3"/>
    <col width="13.88671875" customWidth="1" style="214" min="4" max="4"/>
    <col width="24.88671875" customWidth="1" style="214" min="5" max="5"/>
    <col width="15.5546875" customWidth="1" style="214" min="6" max="6"/>
    <col width="14.88671875" customWidth="1" style="214" min="7" max="7"/>
    <col width="16.6640625" customWidth="1" style="214" min="8" max="8"/>
    <col width="13" customWidth="1" style="214" min="9" max="10"/>
    <col width="18" customWidth="1" style="214" min="11" max="11"/>
    <col width="9.109375" customWidth="1" style="214" min="12" max="12"/>
  </cols>
  <sheetData>
    <row r="3">
      <c r="B3" s="241" t="inlineStr">
        <is>
          <t>Приложение № 2</t>
        </is>
      </c>
      <c r="K3" s="140" t="n"/>
    </row>
    <row r="4">
      <c r="B4" s="242" t="inlineStr">
        <is>
          <t>Расчет стоимости основных видов работ для выбора объекта-представителя</t>
        </is>
      </c>
    </row>
    <row r="5">
      <c r="B5" s="148" t="n"/>
      <c r="C5" s="148" t="n"/>
      <c r="D5" s="148" t="n"/>
      <c r="E5" s="148" t="n"/>
      <c r="F5" s="148" t="n"/>
      <c r="G5" s="148" t="n"/>
      <c r="H5" s="148" t="n"/>
      <c r="I5" s="148" t="n"/>
      <c r="J5" s="148" t="n"/>
      <c r="K5" s="148" t="n"/>
    </row>
    <row r="6" ht="29.25" customHeight="1" s="212">
      <c r="B6" s="243">
        <f>'Прил.1 Сравнит табл'!B7:D7</f>
        <v/>
      </c>
    </row>
    <row r="7">
      <c r="B7" s="243">
        <f>'Прил.1 Сравнит табл'!B9:D9</f>
        <v/>
      </c>
    </row>
    <row r="8" ht="18.75" customHeight="1" s="212">
      <c r="B8" s="116" t="n"/>
    </row>
    <row r="9" ht="15.75" customHeight="1" s="212">
      <c r="A9" s="214" t="n"/>
      <c r="B9" s="246" t="inlineStr">
        <is>
          <t>№ п/п</t>
        </is>
      </c>
      <c r="C9" s="246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46" t="inlineStr">
        <is>
          <t>Объект-представитель 1</t>
        </is>
      </c>
      <c r="E9" s="325" t="n"/>
      <c r="F9" s="325" t="n"/>
      <c r="G9" s="325" t="n"/>
      <c r="H9" s="325" t="n"/>
      <c r="I9" s="325" t="n"/>
      <c r="J9" s="326" t="n"/>
    </row>
    <row r="10" ht="15.75" customHeight="1" s="212">
      <c r="A10" s="214" t="n"/>
      <c r="B10" s="327" t="n"/>
      <c r="C10" s="327" t="n"/>
      <c r="D10" s="246" t="inlineStr">
        <is>
          <t>Номер сметы</t>
        </is>
      </c>
      <c r="E10" s="246" t="inlineStr">
        <is>
          <t>Наименование сметы</t>
        </is>
      </c>
      <c r="F10" s="246" t="inlineStr">
        <is>
          <t>Сметная стоимость в уровне цен 4 кв. 2016 г., тыс. руб.</t>
        </is>
      </c>
      <c r="G10" s="325" t="n"/>
      <c r="H10" s="325" t="n"/>
      <c r="I10" s="325" t="n"/>
      <c r="J10" s="326" t="n"/>
    </row>
    <row r="11" ht="59.25" customHeight="1" s="212">
      <c r="A11" s="214" t="n"/>
      <c r="B11" s="328" t="n"/>
      <c r="C11" s="328" t="n"/>
      <c r="D11" s="328" t="n"/>
      <c r="E11" s="328" t="n"/>
      <c r="F11" s="246" t="inlineStr">
        <is>
          <t>Строительные работы</t>
        </is>
      </c>
      <c r="G11" s="246" t="inlineStr">
        <is>
          <t>Монтажные работы</t>
        </is>
      </c>
      <c r="H11" s="246" t="inlineStr">
        <is>
          <t>Оборудование</t>
        </is>
      </c>
      <c r="I11" s="246" t="inlineStr">
        <is>
          <t>Прочее</t>
        </is>
      </c>
      <c r="J11" s="246" t="inlineStr">
        <is>
          <t>Всего</t>
        </is>
      </c>
    </row>
    <row r="12" ht="91.5" customHeight="1" s="212">
      <c r="A12" s="214" t="n"/>
      <c r="B12" s="215" t="n">
        <v>1</v>
      </c>
      <c r="C12" s="231" t="inlineStr">
        <is>
          <t>Кабель алюминиевый 500кВ 3х800</t>
        </is>
      </c>
      <c r="D12" s="202" t="inlineStr">
        <is>
          <t>02-03-10</t>
        </is>
      </c>
      <c r="E12" s="226" t="inlineStr">
        <is>
          <t>Силовая сеть 0,4 кВ (сварочная сеть).ОРУ 500кВ. II этап ОРУ 500 кВ.</t>
        </is>
      </c>
      <c r="F12" s="204" t="n"/>
      <c r="G12" s="204" t="n">
        <v>3706.299425</v>
      </c>
      <c r="H12" s="204" t="n"/>
      <c r="I12" s="204" t="n"/>
      <c r="J12" s="205" t="n">
        <v>3706.299425</v>
      </c>
      <c r="K12" s="206" t="n"/>
      <c r="L12" s="206" t="n"/>
    </row>
    <row r="13" ht="15" customHeight="1" s="212">
      <c r="A13" s="214" t="n"/>
      <c r="B13" s="245" t="inlineStr">
        <is>
          <t>Всего по объекту:</t>
        </is>
      </c>
      <c r="C13" s="325" t="n"/>
      <c r="D13" s="325" t="n"/>
      <c r="E13" s="326" t="n"/>
      <c r="F13" s="208" t="n"/>
      <c r="G13" s="208" t="n">
        <v>3706.299425</v>
      </c>
      <c r="H13" s="208" t="n"/>
      <c r="I13" s="208" t="n"/>
      <c r="J13" s="208" t="n">
        <v>3706.299425</v>
      </c>
      <c r="K13" s="206" t="n"/>
      <c r="L13" s="206" t="n"/>
    </row>
    <row r="14" ht="15.75" customHeight="1" s="212">
      <c r="A14" s="214" t="n"/>
      <c r="B14" s="245" t="inlineStr">
        <is>
          <t>Всего по объекту в сопоставимом уровне цен 4 кв. 2016 г. :</t>
        </is>
      </c>
      <c r="C14" s="325" t="n"/>
      <c r="D14" s="325" t="n"/>
      <c r="E14" s="326" t="n"/>
      <c r="F14" s="208" t="n"/>
      <c r="G14" s="208" t="n">
        <v>3706.299425</v>
      </c>
      <c r="H14" s="208" t="n"/>
      <c r="I14" s="208" t="n"/>
      <c r="J14" s="208" t="n">
        <v>3706.299425</v>
      </c>
      <c r="L14" s="206" t="n"/>
    </row>
    <row r="15" ht="15" customHeight="1" s="212"/>
    <row r="16" ht="15" customHeight="1" s="212"/>
    <row r="17" ht="15" customHeight="1" s="212"/>
    <row r="18" ht="15" customHeight="1" s="212">
      <c r="C18" s="186" t="inlineStr">
        <is>
          <t>Составил ______________________     А.Р. Маркова</t>
        </is>
      </c>
      <c r="D18" s="196" t="n"/>
      <c r="E18" s="196" t="n"/>
    </row>
    <row r="19" ht="15" customHeight="1" s="212">
      <c r="C19" s="197" t="inlineStr">
        <is>
          <t xml:space="preserve">                         (подпись, инициалы, фамилия)</t>
        </is>
      </c>
      <c r="D19" s="196" t="n"/>
      <c r="E19" s="196" t="n"/>
    </row>
    <row r="20" ht="15" customHeight="1" s="212">
      <c r="C20" s="186" t="n"/>
      <c r="D20" s="196" t="n"/>
      <c r="E20" s="196" t="n"/>
    </row>
    <row r="21" ht="15" customHeight="1" s="212">
      <c r="C21" s="186" t="inlineStr">
        <is>
          <t>Проверил ______________________        А.В. Костянецкая</t>
        </is>
      </c>
      <c r="D21" s="196" t="n"/>
      <c r="E21" s="196" t="n"/>
    </row>
    <row r="22" ht="15" customHeight="1" s="212">
      <c r="C22" s="197" t="inlineStr">
        <is>
          <t xml:space="preserve">                        (подпись, инициалы, фамилия)</t>
        </is>
      </c>
      <c r="D22" s="196" t="n"/>
      <c r="E22" s="196" t="n"/>
    </row>
    <row r="23" ht="15" customHeight="1" s="212"/>
    <row r="24" ht="15" customHeight="1" s="212"/>
    <row r="25" ht="15" customHeight="1" s="212"/>
    <row r="26" ht="15" customHeight="1" s="212"/>
    <row r="27" ht="15" customHeight="1" s="212"/>
    <row r="28" ht="15" customHeight="1" s="212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M35"/>
  <sheetViews>
    <sheetView view="pageBreakPreview" zoomScale="70" workbookViewId="0">
      <selection activeCell="D30" sqref="D30"/>
    </sheetView>
  </sheetViews>
  <sheetFormatPr baseColWidth="8" defaultColWidth="9.109375" defaultRowHeight="15.6"/>
  <cols>
    <col width="9.109375" customWidth="1" style="214" min="1" max="1"/>
    <col width="12.5546875" customWidth="1" style="214" min="2" max="2"/>
    <col width="22.44140625" customWidth="1" style="214" min="3" max="3"/>
    <col width="49.6640625" customWidth="1" style="214" min="4" max="4"/>
    <col width="10.109375" customWidth="1" style="214" min="5" max="5"/>
    <col width="20.6640625" customWidth="1" style="214" min="6" max="6"/>
    <col width="20" customWidth="1" style="214" min="7" max="7"/>
    <col width="16.6640625" customWidth="1" style="214" min="8" max="8"/>
    <col width="9.109375" customWidth="1" style="214" min="9" max="10"/>
    <col width="15" customWidth="1" style="214" min="11" max="11"/>
    <col width="9.109375" customWidth="1" style="214" min="12" max="12"/>
  </cols>
  <sheetData>
    <row r="2">
      <c r="A2" s="241" t="inlineStr">
        <is>
          <t xml:space="preserve">Приложение № 3 </t>
        </is>
      </c>
    </row>
    <row r="3">
      <c r="A3" s="242" t="inlineStr">
        <is>
          <t>Объектная ресурсная ведомость</t>
        </is>
      </c>
    </row>
    <row r="4" ht="18.75" customHeight="1" s="212">
      <c r="A4" s="173" t="n"/>
      <c r="B4" s="173" t="n"/>
      <c r="C4" s="252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243" t="n"/>
    </row>
    <row r="6">
      <c r="A6" s="251" t="inlineStr">
        <is>
          <t>Наименование разрабатываемого показателя УНЦ -  КЛ 500 кВ (с алюминиевой жилой) сечение жилы 800 мм2</t>
        </is>
      </c>
    </row>
    <row r="7">
      <c r="A7" s="251" t="n"/>
      <c r="B7" s="251" t="n"/>
      <c r="C7" s="251" t="n"/>
      <c r="D7" s="251" t="n"/>
      <c r="E7" s="251" t="n"/>
      <c r="F7" s="251" t="n"/>
      <c r="G7" s="251" t="n"/>
      <c r="H7" s="251" t="n"/>
    </row>
    <row r="8" ht="38.25" customHeight="1" s="212">
      <c r="A8" s="246" t="inlineStr">
        <is>
          <t>п/п</t>
        </is>
      </c>
      <c r="B8" s="246" t="inlineStr">
        <is>
          <t>№ЛСР</t>
        </is>
      </c>
      <c r="C8" s="246" t="inlineStr">
        <is>
          <t>Код ресурса</t>
        </is>
      </c>
      <c r="D8" s="246" t="inlineStr">
        <is>
          <t>Наименование ресурса</t>
        </is>
      </c>
      <c r="E8" s="246" t="inlineStr">
        <is>
          <t>Ед. изм.</t>
        </is>
      </c>
      <c r="F8" s="246" t="inlineStr">
        <is>
          <t>Кол-во единиц по данным объекта-представителя</t>
        </is>
      </c>
      <c r="G8" s="246" t="inlineStr">
        <is>
          <t>Сметная стоимость в ценах на 01.01.2000 (руб.)</t>
        </is>
      </c>
      <c r="H8" s="326" t="n"/>
    </row>
    <row r="9" ht="40.65" customHeight="1" s="212">
      <c r="A9" s="328" t="n"/>
      <c r="B9" s="328" t="n"/>
      <c r="C9" s="328" t="n"/>
      <c r="D9" s="328" t="n"/>
      <c r="E9" s="328" t="n"/>
      <c r="F9" s="328" t="n"/>
      <c r="G9" s="246" t="inlineStr">
        <is>
          <t>на ед.изм.</t>
        </is>
      </c>
      <c r="H9" s="246" t="inlineStr">
        <is>
          <t>общая</t>
        </is>
      </c>
    </row>
    <row r="10">
      <c r="A10" s="231" t="n">
        <v>1</v>
      </c>
      <c r="B10" s="231" t="n"/>
      <c r="C10" s="231" t="n">
        <v>2</v>
      </c>
      <c r="D10" s="231" t="inlineStr">
        <is>
          <t>З</t>
        </is>
      </c>
      <c r="E10" s="231" t="n">
        <v>4</v>
      </c>
      <c r="F10" s="231" t="n">
        <v>5</v>
      </c>
      <c r="G10" s="231" t="n">
        <v>6</v>
      </c>
      <c r="H10" s="231" t="n">
        <v>7</v>
      </c>
    </row>
    <row r="11" customFormat="1" s="151">
      <c r="A11" s="248" t="inlineStr">
        <is>
          <t>Затраты труда рабочих</t>
        </is>
      </c>
      <c r="B11" s="325" t="n"/>
      <c r="C11" s="325" t="n"/>
      <c r="D11" s="325" t="n"/>
      <c r="E11" s="326" t="n"/>
      <c r="F11" s="329">
        <f>SUM(F12:F12)</f>
        <v/>
      </c>
      <c r="G11" s="10" t="n"/>
      <c r="H11" s="329">
        <f>SUM(H12:H12)</f>
        <v/>
      </c>
    </row>
    <row r="12">
      <c r="A12" s="279" t="n">
        <v>1</v>
      </c>
      <c r="B12" s="154" t="n"/>
      <c r="C12" s="132" t="inlineStr">
        <is>
          <t>1-4-0</t>
        </is>
      </c>
      <c r="D12" s="169" t="inlineStr">
        <is>
          <t>Затраты труда рабочих (средний разряд работы 4)</t>
        </is>
      </c>
      <c r="E12" s="279" t="inlineStr">
        <is>
          <t>чел.-ч</t>
        </is>
      </c>
      <c r="F12" s="258" t="n">
        <v>1515.8</v>
      </c>
      <c r="G12" s="330" t="n">
        <v>9.619999999999999</v>
      </c>
      <c r="H12" s="167">
        <f>ROUND(F12*G12,2)</f>
        <v/>
      </c>
      <c r="M12" s="331" t="n"/>
    </row>
    <row r="13">
      <c r="A13" s="247" t="inlineStr">
        <is>
          <t>Затраты труда машинистов</t>
        </is>
      </c>
      <c r="B13" s="325" t="n"/>
      <c r="C13" s="325" t="n"/>
      <c r="D13" s="325" t="n"/>
      <c r="E13" s="326" t="n"/>
      <c r="F13" s="248" t="n"/>
      <c r="G13" s="152" t="n"/>
      <c r="H13" s="329">
        <f>H14</f>
        <v/>
      </c>
    </row>
    <row r="14">
      <c r="A14" s="279" t="n">
        <v>2</v>
      </c>
      <c r="B14" s="249" t="n"/>
      <c r="C14" s="175" t="n">
        <v>2</v>
      </c>
      <c r="D14" s="169" t="inlineStr">
        <is>
          <t>Затраты труда машинистов</t>
        </is>
      </c>
      <c r="E14" s="279" t="inlineStr">
        <is>
          <t>чел.-ч</t>
        </is>
      </c>
      <c r="F14" s="279" t="n">
        <v>104.5</v>
      </c>
      <c r="G14" s="167" t="n"/>
      <c r="H14" s="330" t="n">
        <v>1228.7</v>
      </c>
    </row>
    <row r="15" customFormat="1" s="151">
      <c r="A15" s="248" t="inlineStr">
        <is>
          <t>Машины и механизмы</t>
        </is>
      </c>
      <c r="B15" s="325" t="n"/>
      <c r="C15" s="325" t="n"/>
      <c r="D15" s="325" t="n"/>
      <c r="E15" s="326" t="n"/>
      <c r="F15" s="248" t="n"/>
      <c r="G15" s="152" t="n"/>
      <c r="H15" s="329">
        <f>SUM(H16:H25)</f>
        <v/>
      </c>
    </row>
    <row r="16" ht="25.5" customHeight="1" s="212">
      <c r="A16" s="279" t="n">
        <v>3</v>
      </c>
      <c r="B16" s="249" t="n"/>
      <c r="C16" s="175" t="inlineStr">
        <is>
          <t>91.05.05-018</t>
        </is>
      </c>
      <c r="D16" s="169" t="inlineStr">
        <is>
          <t>Краны на автомобильном ходу, грузоподъемность 63 т</t>
        </is>
      </c>
      <c r="E16" s="279" t="inlineStr">
        <is>
          <t>маш.час</t>
        </is>
      </c>
      <c r="F16" s="279" t="n">
        <v>19.9</v>
      </c>
      <c r="G16" s="176" t="n">
        <v>823.23</v>
      </c>
      <c r="H16" s="167">
        <f>ROUND(F16*G16,2)</f>
        <v/>
      </c>
      <c r="I16" s="171" t="n"/>
      <c r="J16" s="171" t="n"/>
      <c r="L16" s="171" t="n"/>
    </row>
    <row r="17" ht="25.5" customFormat="1" customHeight="1" s="151">
      <c r="A17" s="279" t="n">
        <v>4</v>
      </c>
      <c r="B17" s="249" t="n"/>
      <c r="C17" s="175" t="inlineStr">
        <is>
          <t>91.06.03-012</t>
        </is>
      </c>
      <c r="D17" s="169" t="inlineStr">
        <is>
          <t>Лебедки-прицепы гидравлические для протяжки кабеля, тяговое усилие 10 т</t>
        </is>
      </c>
      <c r="E17" s="279" t="inlineStr">
        <is>
          <t>маш.час</t>
        </is>
      </c>
      <c r="F17" s="279" t="n">
        <v>34.5</v>
      </c>
      <c r="G17" s="176" t="n">
        <v>244.95</v>
      </c>
      <c r="H17" s="167">
        <f>ROUND(F17*G17,2)</f>
        <v/>
      </c>
      <c r="I17" s="171" t="n"/>
      <c r="J17" s="171" t="n"/>
      <c r="K17" s="182" t="n"/>
      <c r="L17" s="171" t="n"/>
    </row>
    <row r="18">
      <c r="A18" s="279" t="n">
        <v>5</v>
      </c>
      <c r="B18" s="249" t="n"/>
      <c r="C18" s="175" t="inlineStr">
        <is>
          <t>91.14.04-003</t>
        </is>
      </c>
      <c r="D18" s="169" t="inlineStr">
        <is>
          <t>Тягачи седельные, грузоподъемность 30 т</t>
        </is>
      </c>
      <c r="E18" s="279" t="inlineStr">
        <is>
          <t>маш.час</t>
        </is>
      </c>
      <c r="F18" s="279" t="n">
        <v>16.7</v>
      </c>
      <c r="G18" s="176" t="n">
        <v>120.31</v>
      </c>
      <c r="H18" s="167">
        <f>ROUND(F18*G18,2)</f>
        <v/>
      </c>
      <c r="I18" s="171" t="n"/>
      <c r="J18" s="171" t="n"/>
      <c r="L18" s="171" t="n"/>
    </row>
    <row r="19" ht="25.5" customHeight="1" s="212">
      <c r="A19" s="279" t="n">
        <v>6</v>
      </c>
      <c r="B19" s="249" t="n"/>
      <c r="C19" s="175" t="inlineStr">
        <is>
          <t>91.05.13-001</t>
        </is>
      </c>
      <c r="D19" s="169" t="inlineStr">
        <is>
          <t>Автомобили бортовые, грузоподъемность до 6 т, с краном-манипулятором-4,0 т</t>
        </is>
      </c>
      <c r="E19" s="279" t="inlineStr">
        <is>
          <t>маш.час</t>
        </is>
      </c>
      <c r="F19" s="279" t="n">
        <v>2.2</v>
      </c>
      <c r="G19" s="176" t="n">
        <v>288.03</v>
      </c>
      <c r="H19" s="167">
        <f>ROUND(F19*G19,2)</f>
        <v/>
      </c>
      <c r="I19" s="171" t="n"/>
      <c r="J19" s="171" t="n"/>
      <c r="L19" s="171" t="n"/>
    </row>
    <row r="20" ht="25.5" customHeight="1" s="212">
      <c r="A20" s="279" t="n">
        <v>7</v>
      </c>
      <c r="B20" s="249" t="n"/>
      <c r="C20" s="175" t="inlineStr">
        <is>
          <t>91.11.01-021</t>
        </is>
      </c>
      <c r="D20" s="169" t="inlineStr">
        <is>
          <t>Устройства подталкивающие для протяжки кабеля, тяговое усилие 800 кг</t>
        </is>
      </c>
      <c r="E20" s="279" t="inlineStr">
        <is>
          <t>маш.час</t>
        </is>
      </c>
      <c r="F20" s="279" t="n">
        <v>24.6</v>
      </c>
      <c r="G20" s="176" t="n">
        <v>25.37</v>
      </c>
      <c r="H20" s="167">
        <f>ROUND(F20*G20,2)</f>
        <v/>
      </c>
      <c r="I20" s="171" t="n"/>
      <c r="J20" s="171" t="n"/>
      <c r="L20" s="171" t="n"/>
    </row>
    <row r="21">
      <c r="A21" s="279" t="n">
        <v>8</v>
      </c>
      <c r="B21" s="249" t="n"/>
      <c r="C21" s="175" t="inlineStr">
        <is>
          <t>91.14.05-002</t>
        </is>
      </c>
      <c r="D21" s="169" t="inlineStr">
        <is>
          <t>Полуприцепы-тяжеловозы, грузоподъемность 40 т</t>
        </is>
      </c>
      <c r="E21" s="279" t="inlineStr">
        <is>
          <t>маш.час</t>
        </is>
      </c>
      <c r="F21" s="279" t="n">
        <v>16.7</v>
      </c>
      <c r="G21" s="176" t="n">
        <v>28.65</v>
      </c>
      <c r="H21" s="167">
        <f>ROUND(F21*G21,2)</f>
        <v/>
      </c>
      <c r="I21" s="171" t="n"/>
      <c r="J21" s="171" t="n"/>
      <c r="L21" s="171" t="n"/>
    </row>
    <row r="22">
      <c r="A22" s="279" t="n">
        <v>9</v>
      </c>
      <c r="B22" s="249" t="n"/>
      <c r="C22" s="175" t="inlineStr">
        <is>
          <t>91.16.01-002</t>
        </is>
      </c>
      <c r="D22" s="169" t="inlineStr">
        <is>
          <t>Электростанции передвижные, мощность 4 кВт</t>
        </is>
      </c>
      <c r="E22" s="279" t="inlineStr">
        <is>
          <t>маш.час</t>
        </is>
      </c>
      <c r="F22" s="279" t="n">
        <v>11.3</v>
      </c>
      <c r="G22" s="176" t="n">
        <v>27.11</v>
      </c>
      <c r="H22" s="167">
        <f>ROUND(F22*G22,2)</f>
        <v/>
      </c>
      <c r="I22" s="171" t="n"/>
      <c r="J22" s="171" t="n"/>
    </row>
    <row r="23">
      <c r="A23" s="279" t="n">
        <v>10</v>
      </c>
      <c r="B23" s="249" t="n"/>
      <c r="C23" s="175" t="inlineStr">
        <is>
          <t>91.17.04-091</t>
        </is>
      </c>
      <c r="D23" s="169" t="inlineStr">
        <is>
          <t>Горелки газовые инжекторные</t>
        </is>
      </c>
      <c r="E23" s="279" t="inlineStr">
        <is>
          <t>маш.час</t>
        </is>
      </c>
      <c r="F23" s="279" t="n">
        <v>11.3</v>
      </c>
      <c r="G23" s="176" t="n">
        <v>13.5</v>
      </c>
      <c r="H23" s="167">
        <f>ROUND(F23*G23,2)</f>
        <v/>
      </c>
      <c r="J23" s="171" t="n"/>
    </row>
    <row r="24">
      <c r="A24" s="279" t="n">
        <v>11</v>
      </c>
      <c r="B24" s="249" t="n"/>
      <c r="C24" s="175" t="inlineStr">
        <is>
          <t>91.21.15-022</t>
        </is>
      </c>
      <c r="D24" s="169" t="inlineStr">
        <is>
          <t>Пилы ленточные с поворотной пилорамой</t>
        </is>
      </c>
      <c r="E24" s="279" t="inlineStr">
        <is>
          <t>маш.час</t>
        </is>
      </c>
      <c r="F24" s="279" t="n">
        <v>11.3</v>
      </c>
      <c r="G24" s="176" t="n">
        <v>3.31</v>
      </c>
      <c r="H24" s="167">
        <f>ROUND(F24*G24,2)</f>
        <v/>
      </c>
      <c r="J24" s="171" t="n"/>
    </row>
    <row r="25">
      <c r="A25" s="279" t="n">
        <v>12</v>
      </c>
      <c r="B25" s="249" t="n"/>
      <c r="C25" s="175" t="inlineStr">
        <is>
          <t>91.06.01-002</t>
        </is>
      </c>
      <c r="D25" s="169" t="inlineStr">
        <is>
          <t>Домкраты гидравлические, грузоподъемность 6,3-25 т</t>
        </is>
      </c>
      <c r="E25" s="279" t="inlineStr">
        <is>
          <t>маш.час</t>
        </is>
      </c>
      <c r="F25" s="279" t="n">
        <v>57.3</v>
      </c>
      <c r="G25" s="176" t="n">
        <v>0.48</v>
      </c>
      <c r="H25" s="167">
        <f>ROUND(F25*G25,2)</f>
        <v/>
      </c>
      <c r="J25" s="171" t="n"/>
    </row>
    <row r="26">
      <c r="A26" s="248" t="inlineStr">
        <is>
          <t>Материалы</t>
        </is>
      </c>
      <c r="B26" s="325" t="n"/>
      <c r="C26" s="325" t="n"/>
      <c r="D26" s="325" t="n"/>
      <c r="E26" s="326" t="n"/>
      <c r="F26" s="248" t="n"/>
      <c r="G26" s="152" t="n"/>
      <c r="H26" s="329">
        <f>SUM(H27:H28)</f>
        <v/>
      </c>
    </row>
    <row r="27">
      <c r="A27" s="180" t="n">
        <v>13</v>
      </c>
      <c r="B27" s="180" t="n"/>
      <c r="C27" s="279" t="inlineStr">
        <is>
          <t>Прайс из СД ОП</t>
        </is>
      </c>
      <c r="D27" s="179" t="inlineStr">
        <is>
          <t>Кабель алюминиевый 500кВ 3х800</t>
        </is>
      </c>
      <c r="E27" s="279" t="inlineStr">
        <is>
          <t>км</t>
        </is>
      </c>
      <c r="F27" s="279" t="n">
        <v>3.3</v>
      </c>
      <c r="G27" s="179" t="n">
        <v>7793596.46</v>
      </c>
      <c r="H27" s="167">
        <f>ROUND(F27*G27,2)</f>
        <v/>
      </c>
    </row>
    <row r="28">
      <c r="A28" s="180" t="n">
        <v>14</v>
      </c>
      <c r="B28" s="249" t="n"/>
      <c r="C28" s="175" t="inlineStr">
        <is>
          <t>01.3.02.09-0022</t>
        </is>
      </c>
      <c r="D28" s="169" t="inlineStr">
        <is>
          <t>Пропан-бутан смесь техническая</t>
        </is>
      </c>
      <c r="E28" s="279" t="inlineStr">
        <is>
          <t>кг</t>
        </is>
      </c>
      <c r="F28" s="279" t="n">
        <v>3.617</v>
      </c>
      <c r="G28" s="167" t="n">
        <v>6.09</v>
      </c>
      <c r="H28" s="167">
        <f>ROUND(F28*G28,2)</f>
        <v/>
      </c>
      <c r="I28" s="164" t="n"/>
      <c r="J28" s="171" t="n"/>
      <c r="K28" s="171" t="n"/>
    </row>
    <row r="31">
      <c r="B31" s="214" t="inlineStr">
        <is>
          <t>Составил ______________________     А.Р. Маркова</t>
        </is>
      </c>
    </row>
    <row r="32">
      <c r="B32" s="140" t="inlineStr">
        <is>
          <t xml:space="preserve">                         (подпись, инициалы, фамилия)</t>
        </is>
      </c>
    </row>
    <row r="34">
      <c r="B34" s="214" t="inlineStr">
        <is>
          <t>Проверил ______________________        А.В. Костянецкая</t>
        </is>
      </c>
    </row>
    <row r="35">
      <c r="B35" s="140" t="inlineStr">
        <is>
          <t xml:space="preserve">                        (подпись, инициалы, фамилия)</t>
        </is>
      </c>
    </row>
  </sheetData>
  <mergeCells count="15">
    <mergeCell ref="A3:H3"/>
    <mergeCell ref="A8:A9"/>
    <mergeCell ref="E8:E9"/>
    <mergeCell ref="A26:E26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6:H6"/>
  </mergeCells>
  <pageMargins left="0.7086614173228347" right="0.7086614173228347" top="0.7480314960629921" bottom="0.7480314960629921" header="0.3149606299212598" footer="0.3149606299212598"/>
  <pageSetup orientation="landscape" paperSize="9" scale="81" fitToHeight="0"/>
  <rowBreaks count="1" manualBreakCount="1">
    <brk id="27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1" workbookViewId="0">
      <selection activeCell="D43" sqref="D43"/>
    </sheetView>
  </sheetViews>
  <sheetFormatPr baseColWidth="8" defaultColWidth="9.109375" defaultRowHeight="14.4"/>
  <cols>
    <col width="4.109375" customWidth="1" style="212" min="1" max="1"/>
    <col width="36.33203125" customWidth="1" style="212" min="2" max="2"/>
    <col width="18.88671875" customWidth="1" style="212" min="3" max="3"/>
    <col width="18.33203125" customWidth="1" style="212" min="4" max="4"/>
    <col width="18.88671875" customWidth="1" style="212" min="5" max="5"/>
    <col width="11.44140625" customWidth="1" style="212" min="6" max="6"/>
    <col width="14.44140625" customWidth="1" style="212" min="7" max="7"/>
    <col width="13.5546875" customWidth="1" style="212" min="12" max="12"/>
  </cols>
  <sheetData>
    <row r="1">
      <c r="B1" s="186" t="n"/>
      <c r="C1" s="186" t="n"/>
      <c r="D1" s="186" t="n"/>
      <c r="E1" s="186" t="n"/>
    </row>
    <row r="2">
      <c r="B2" s="186" t="n"/>
      <c r="C2" s="186" t="n"/>
      <c r="D2" s="186" t="n"/>
      <c r="E2" s="274" t="inlineStr">
        <is>
          <t>Приложение № 4</t>
        </is>
      </c>
    </row>
    <row r="3">
      <c r="B3" s="186" t="n"/>
      <c r="C3" s="186" t="n"/>
      <c r="D3" s="186" t="n"/>
      <c r="E3" s="186" t="n"/>
    </row>
    <row r="4">
      <c r="B4" s="186" t="n"/>
      <c r="C4" s="186" t="n"/>
      <c r="D4" s="186" t="n"/>
      <c r="E4" s="186" t="n"/>
    </row>
    <row r="5">
      <c r="B5" s="234" t="inlineStr">
        <is>
          <t>Ресурсная модель</t>
        </is>
      </c>
    </row>
    <row r="6">
      <c r="B6" s="163" t="n"/>
      <c r="C6" s="186" t="n"/>
      <c r="D6" s="186" t="n"/>
      <c r="E6" s="186" t="n"/>
    </row>
    <row r="7" ht="25.5" customHeight="1" s="212">
      <c r="B7" s="253" t="inlineStr">
        <is>
          <t>Наименование разрабатываемого показателя УНЦ — КЛ 500 кВ (с алюминиевой жилой) сечение жилы 800 мм2</t>
        </is>
      </c>
    </row>
    <row r="8">
      <c r="B8" s="254" t="inlineStr">
        <is>
          <t>Единица измерения  — 1 км</t>
        </is>
      </c>
    </row>
    <row r="9">
      <c r="B9" s="163" t="n"/>
      <c r="C9" s="186" t="n"/>
      <c r="D9" s="186" t="n"/>
      <c r="E9" s="186" t="n"/>
    </row>
    <row r="10" ht="51" customHeight="1" s="212">
      <c r="B10" s="258" t="inlineStr">
        <is>
          <t>Наименование</t>
        </is>
      </c>
      <c r="C10" s="258" t="inlineStr">
        <is>
          <t>Сметная стоимость в ценах на 01.01.2023
 (руб.)</t>
        </is>
      </c>
      <c r="D10" s="258" t="inlineStr">
        <is>
          <t>Удельный вес, 
(в СМР)</t>
        </is>
      </c>
      <c r="E10" s="258" t="inlineStr">
        <is>
          <t>Удельный вес, % 
(от всего по РМ)</t>
        </is>
      </c>
    </row>
    <row r="11">
      <c r="B11" s="99" t="inlineStr">
        <is>
          <t>Оплата труда рабочих</t>
        </is>
      </c>
      <c r="C11" s="191">
        <f>'Прил.5 Расчет СМР и ОБ'!J15</f>
        <v/>
      </c>
      <c r="D11" s="158">
        <f>C11/$C$24</f>
        <v/>
      </c>
      <c r="E11" s="158">
        <f>C11/$C$40</f>
        <v/>
      </c>
    </row>
    <row r="12">
      <c r="B12" s="99" t="inlineStr">
        <is>
          <t>Эксплуатация машин основных</t>
        </is>
      </c>
      <c r="C12" s="191">
        <f>'Прил.5 Расчет СМР и ОБ'!J22</f>
        <v/>
      </c>
      <c r="D12" s="158">
        <f>C12/$C$24</f>
        <v/>
      </c>
      <c r="E12" s="158">
        <f>C12/$C$40</f>
        <v/>
      </c>
    </row>
    <row r="13">
      <c r="B13" s="99" t="inlineStr">
        <is>
          <t>Эксплуатация машин прочих</t>
        </is>
      </c>
      <c r="C13" s="191">
        <f>'Прил.5 Расчет СМР и ОБ'!J31</f>
        <v/>
      </c>
      <c r="D13" s="158">
        <f>C13/$C$24</f>
        <v/>
      </c>
      <c r="E13" s="158">
        <f>C13/$C$40</f>
        <v/>
      </c>
    </row>
    <row r="14">
      <c r="B14" s="99" t="inlineStr">
        <is>
          <t>ЭКСПЛУАТАЦИЯ МАШИН, ВСЕГО:</t>
        </is>
      </c>
      <c r="C14" s="191">
        <f>C13+C12</f>
        <v/>
      </c>
      <c r="D14" s="158">
        <f>C14/$C$24</f>
        <v/>
      </c>
      <c r="E14" s="158">
        <f>C14/$C$40</f>
        <v/>
      </c>
    </row>
    <row r="15">
      <c r="B15" s="99" t="inlineStr">
        <is>
          <t>в том числе зарплата машинистов</t>
        </is>
      </c>
      <c r="C15" s="191">
        <f>'Прил.5 Расчет СМР и ОБ'!J17</f>
        <v/>
      </c>
      <c r="D15" s="158">
        <f>C15/$C$24</f>
        <v/>
      </c>
      <c r="E15" s="158">
        <f>C15/$C$40</f>
        <v/>
      </c>
    </row>
    <row r="16">
      <c r="B16" s="99" t="inlineStr">
        <is>
          <t>Материалы основные</t>
        </is>
      </c>
      <c r="C16" s="191">
        <f>'Прил.5 Расчет СМР и ОБ'!J42</f>
        <v/>
      </c>
      <c r="D16" s="158">
        <f>C16/$C$24</f>
        <v/>
      </c>
      <c r="E16" s="158">
        <f>C16/$C$40</f>
        <v/>
      </c>
    </row>
    <row r="17">
      <c r="B17" s="99" t="inlineStr">
        <is>
          <t>Материалы прочие</t>
        </is>
      </c>
      <c r="C17" s="191">
        <f>'Прил.5 Расчет СМР и ОБ'!J44</f>
        <v/>
      </c>
      <c r="D17" s="158">
        <f>C17/$C$24</f>
        <v/>
      </c>
      <c r="E17" s="158">
        <f>C17/$C$40</f>
        <v/>
      </c>
      <c r="G17" s="332" t="n"/>
    </row>
    <row r="18">
      <c r="B18" s="99" t="inlineStr">
        <is>
          <t>МАТЕРИАЛЫ, ВСЕГО:</t>
        </is>
      </c>
      <c r="C18" s="191">
        <f>C17+C16</f>
        <v/>
      </c>
      <c r="D18" s="158">
        <f>C18/$C$24</f>
        <v/>
      </c>
      <c r="E18" s="158">
        <f>C18/$C$40</f>
        <v/>
      </c>
    </row>
    <row r="19">
      <c r="B19" s="99" t="inlineStr">
        <is>
          <t>ИТОГО</t>
        </is>
      </c>
      <c r="C19" s="191">
        <f>C18+C14+C11</f>
        <v/>
      </c>
      <c r="D19" s="158" t="n"/>
      <c r="E19" s="99" t="n"/>
    </row>
    <row r="20">
      <c r="B20" s="99" t="inlineStr">
        <is>
          <t>Сметная прибыль, руб.</t>
        </is>
      </c>
      <c r="C20" s="191">
        <f>ROUND(C21*(C11+C15),2)</f>
        <v/>
      </c>
      <c r="D20" s="158">
        <f>C20/$C$24</f>
        <v/>
      </c>
      <c r="E20" s="158">
        <f>C20/$C$40</f>
        <v/>
      </c>
    </row>
    <row r="21">
      <c r="B21" s="99" t="inlineStr">
        <is>
          <t>Сметная прибыль, %</t>
        </is>
      </c>
      <c r="C21" s="161">
        <f>'Прил.5 Расчет СМР и ОБ'!D48</f>
        <v/>
      </c>
      <c r="D21" s="158" t="n"/>
      <c r="E21" s="99" t="n"/>
    </row>
    <row r="22">
      <c r="B22" s="99" t="inlineStr">
        <is>
          <t>Накладные расходы, руб.</t>
        </is>
      </c>
      <c r="C22" s="191">
        <f>ROUND(C23*(C11+C15),2)</f>
        <v/>
      </c>
      <c r="D22" s="158">
        <f>C22/$C$24</f>
        <v/>
      </c>
      <c r="E22" s="158">
        <f>C22/$C$40</f>
        <v/>
      </c>
    </row>
    <row r="23">
      <c r="B23" s="99" t="inlineStr">
        <is>
          <t>Накладные расходы, %</t>
        </is>
      </c>
      <c r="C23" s="161">
        <f>'Прил.5 Расчет СМР и ОБ'!D47</f>
        <v/>
      </c>
      <c r="D23" s="158" t="n"/>
      <c r="E23" s="99" t="n"/>
    </row>
    <row r="24">
      <c r="B24" s="99" t="inlineStr">
        <is>
          <t>ВСЕГО СМР с НР и СП</t>
        </is>
      </c>
      <c r="C24" s="191">
        <f>C19+C20+C22</f>
        <v/>
      </c>
      <c r="D24" s="158">
        <f>C24/$C$24</f>
        <v/>
      </c>
      <c r="E24" s="158">
        <f>C24/$C$40</f>
        <v/>
      </c>
    </row>
    <row r="25" ht="25.5" customHeight="1" s="212">
      <c r="B25" s="99" t="inlineStr">
        <is>
          <t>ВСЕГО стоимость оборудования, в том числе</t>
        </is>
      </c>
      <c r="C25" s="191">
        <f>'Прил.5 Расчет СМР и ОБ'!J37</f>
        <v/>
      </c>
      <c r="D25" s="158" t="n"/>
      <c r="E25" s="158">
        <f>C25/$C$40</f>
        <v/>
      </c>
    </row>
    <row r="26" ht="25.5" customHeight="1" s="212">
      <c r="B26" s="99" t="inlineStr">
        <is>
          <t>стоимость оборудования технологического</t>
        </is>
      </c>
      <c r="C26" s="191">
        <f>'Прил.5 Расчет СМР и ОБ'!J38</f>
        <v/>
      </c>
      <c r="D26" s="158" t="n"/>
      <c r="E26" s="158">
        <f>C26/$C$40</f>
        <v/>
      </c>
    </row>
    <row r="27">
      <c r="B27" s="99" t="inlineStr">
        <is>
          <t>ИТОГО (СМР + ОБОРУДОВАНИЕ)</t>
        </is>
      </c>
      <c r="C27" s="160">
        <f>C24+C25</f>
        <v/>
      </c>
      <c r="D27" s="158" t="n"/>
      <c r="E27" s="158">
        <f>C27/$C$40</f>
        <v/>
      </c>
    </row>
    <row r="28" ht="33" customHeight="1" s="212">
      <c r="B28" s="99" t="inlineStr">
        <is>
          <t>ПРОЧ. ЗАТР., УЧТЕННЫЕ ПОКАЗАТЕЛЕМ,  в том числе</t>
        </is>
      </c>
      <c r="C28" s="99" t="n"/>
      <c r="D28" s="99" t="n"/>
      <c r="E28" s="99" t="n"/>
      <c r="F28" s="159" t="n"/>
    </row>
    <row r="29" ht="25.5" customHeight="1" s="212">
      <c r="B29" s="99" t="inlineStr">
        <is>
          <t>Временные здания и сооружения - 3,9%</t>
        </is>
      </c>
      <c r="C29" s="160">
        <f>ROUND(C24*3.9%,2)</f>
        <v/>
      </c>
      <c r="D29" s="99" t="n"/>
      <c r="E29" s="158">
        <f>C29/$C$40</f>
        <v/>
      </c>
    </row>
    <row r="30" ht="38.25" customHeight="1" s="212">
      <c r="B30" s="99" t="inlineStr">
        <is>
          <t>Дополнительные затраты при производстве строительно-монтажных работ в зимнее время - 2,1%</t>
        </is>
      </c>
      <c r="C30" s="160">
        <f>ROUND((C24+C29)*2.1%,2)</f>
        <v/>
      </c>
      <c r="D30" s="99" t="n"/>
      <c r="E30" s="158">
        <f>C30/$C$40</f>
        <v/>
      </c>
      <c r="F30" s="159" t="n"/>
    </row>
    <row r="31">
      <c r="B31" s="99" t="inlineStr">
        <is>
          <t>Пусконаладочные работы</t>
        </is>
      </c>
      <c r="C31" s="178" t="n">
        <v>0</v>
      </c>
      <c r="D31" s="99" t="n"/>
      <c r="E31" s="158">
        <f>C31/$C$40</f>
        <v/>
      </c>
    </row>
    <row r="32" ht="25.5" customHeight="1" s="212">
      <c r="B32" s="99" t="inlineStr">
        <is>
          <t>Затраты по перевозке работников к месту работы и обратно</t>
        </is>
      </c>
      <c r="C32" s="160">
        <f>ROUND(C27*0%,2)</f>
        <v/>
      </c>
      <c r="D32" s="99" t="n"/>
      <c r="E32" s="158">
        <f>C32/$C$40</f>
        <v/>
      </c>
    </row>
    <row r="33" ht="25.5" customHeight="1" s="212">
      <c r="B33" s="99" t="inlineStr">
        <is>
          <t>Затраты, связанные с осуществлением работ вахтовым методом</t>
        </is>
      </c>
      <c r="C33" s="160">
        <f>ROUND(C28*0%,2)</f>
        <v/>
      </c>
      <c r="D33" s="99" t="n"/>
      <c r="E33" s="158">
        <f>C33/$C$40</f>
        <v/>
      </c>
    </row>
    <row r="34" ht="51" customHeight="1" s="212">
      <c r="B34" s="99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60">
        <f>ROUND(C29*0%,2)</f>
        <v/>
      </c>
      <c r="D34" s="99" t="n"/>
      <c r="E34" s="158">
        <f>C34/$C$40</f>
        <v/>
      </c>
      <c r="H34" s="164" t="n"/>
    </row>
    <row r="35" ht="76.65000000000001" customHeight="1" s="212">
      <c r="B35" s="99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60">
        <f>ROUND(C30*0%,2)</f>
        <v/>
      </c>
      <c r="D35" s="99" t="n"/>
      <c r="E35" s="158">
        <f>C35/$C$40</f>
        <v/>
      </c>
    </row>
    <row r="36" ht="25.5" customHeight="1" s="212">
      <c r="B36" s="99" t="inlineStr">
        <is>
          <t>Строительный контроль и содержание службы заказчика - 2,14%</t>
        </is>
      </c>
      <c r="C36" s="160">
        <f>ROUND((C27+C32+C33+C34+C35+C29+C31+C30)*2.14%,2)</f>
        <v/>
      </c>
      <c r="D36" s="99" t="n"/>
      <c r="E36" s="158">
        <f>C36/$C$40</f>
        <v/>
      </c>
      <c r="G36" s="107" t="n"/>
      <c r="L36" s="159" t="n"/>
    </row>
    <row r="37">
      <c r="B37" s="99" t="inlineStr">
        <is>
          <t>Авторский надзор - 0,2%</t>
        </is>
      </c>
      <c r="C37" s="160">
        <f>ROUND((C27+C32+C33+C34+C35+C29+C31+C30)*0.2%,2)</f>
        <v/>
      </c>
      <c r="D37" s="99" t="n"/>
      <c r="E37" s="158">
        <f>C37/$C$40</f>
        <v/>
      </c>
      <c r="G37" s="110" t="n"/>
      <c r="L37" s="159" t="n"/>
    </row>
    <row r="38" ht="38.25" customHeight="1" s="212">
      <c r="B38" s="99" t="inlineStr">
        <is>
          <t>ИТОГО (СМР+ОБОРУДОВАНИЕ+ПРОЧ. ЗАТР., УЧТЕННЫЕ ПОКАЗАТЕЛЕМ)</t>
        </is>
      </c>
      <c r="C38" s="191">
        <f>C27+C32+C33+C34+C35+C29+C31+C30+C36+C37</f>
        <v/>
      </c>
      <c r="D38" s="99" t="n"/>
      <c r="E38" s="158">
        <f>C38/$C$40</f>
        <v/>
      </c>
    </row>
    <row r="39" ht="13.65" customHeight="1" s="212">
      <c r="B39" s="99" t="inlineStr">
        <is>
          <t>Непредвиденные расходы</t>
        </is>
      </c>
      <c r="C39" s="191">
        <f>ROUND(C38*3%,2)</f>
        <v/>
      </c>
      <c r="D39" s="99" t="n"/>
      <c r="E39" s="158">
        <f>C39/$C$38</f>
        <v/>
      </c>
    </row>
    <row r="40">
      <c r="B40" s="99" t="inlineStr">
        <is>
          <t>ВСЕГО:</t>
        </is>
      </c>
      <c r="C40" s="191">
        <f>C39+C38</f>
        <v/>
      </c>
      <c r="D40" s="99" t="n"/>
      <c r="E40" s="158">
        <f>C40/$C$40</f>
        <v/>
      </c>
    </row>
    <row r="41">
      <c r="B41" s="99" t="inlineStr">
        <is>
          <t>ИТОГО ПОКАЗАТЕЛЬ НА ЕД. ИЗМ.</t>
        </is>
      </c>
      <c r="C41" s="191">
        <f>C40/'Прил.5 Расчет СМР и ОБ'!E51</f>
        <v/>
      </c>
      <c r="D41" s="99" t="n"/>
      <c r="E41" s="99" t="n"/>
    </row>
    <row r="42">
      <c r="B42" s="193" t="n"/>
      <c r="C42" s="186" t="n"/>
      <c r="D42" s="186" t="n"/>
      <c r="E42" s="186" t="n"/>
    </row>
    <row r="43">
      <c r="B43" s="193" t="inlineStr">
        <is>
          <t>Составил ____________________________ А.Р. Маркова</t>
        </is>
      </c>
      <c r="C43" s="186" t="n"/>
      <c r="D43" s="186" t="n"/>
      <c r="E43" s="186" t="n"/>
    </row>
    <row r="44">
      <c r="B44" s="193" t="inlineStr">
        <is>
          <t xml:space="preserve">(должность, подпись, инициалы, фамилия) </t>
        </is>
      </c>
      <c r="C44" s="186" t="n"/>
      <c r="D44" s="186" t="n"/>
      <c r="E44" s="186" t="n"/>
    </row>
    <row r="45">
      <c r="B45" s="193" t="n"/>
      <c r="C45" s="186" t="n"/>
      <c r="D45" s="186" t="n"/>
      <c r="E45" s="186" t="n"/>
    </row>
    <row r="46">
      <c r="B46" s="193" t="inlineStr">
        <is>
          <t>Проверил ____________________________ А.В. Костянецкая</t>
        </is>
      </c>
      <c r="C46" s="186" t="n"/>
      <c r="D46" s="186" t="n"/>
      <c r="E46" s="186" t="n"/>
    </row>
    <row r="47">
      <c r="B47" s="254" t="inlineStr">
        <is>
          <t>(должность, подпись, инициалы, фамилия)</t>
        </is>
      </c>
      <c r="D47" s="186" t="n"/>
      <c r="E47" s="186" t="n"/>
    </row>
    <row r="49">
      <c r="B49" s="186" t="n"/>
      <c r="C49" s="186" t="n"/>
      <c r="D49" s="186" t="n"/>
      <c r="E49" s="186" t="n"/>
    </row>
    <row r="50">
      <c r="B50" s="186" t="n"/>
      <c r="C50" s="186" t="n"/>
      <c r="D50" s="186" t="n"/>
      <c r="E50" s="186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7"/>
  <sheetViews>
    <sheetView view="pageBreakPreview" topLeftCell="A20" zoomScale="85" workbookViewId="0">
      <selection activeCell="H53" sqref="H53"/>
    </sheetView>
  </sheetViews>
  <sheetFormatPr baseColWidth="8" defaultColWidth="9.109375" defaultRowHeight="14.4" outlineLevelRow="1"/>
  <cols>
    <col width="5.6640625" customWidth="1" style="196" min="1" max="1"/>
    <col width="22.5546875" customWidth="1" style="196" min="2" max="2"/>
    <col width="39.109375" customWidth="1" style="196" min="3" max="3"/>
    <col width="10.6640625" customWidth="1" style="196" min="4" max="4"/>
    <col width="12.6640625" customWidth="1" style="196" min="5" max="5"/>
    <col width="15" customWidth="1" style="196" min="6" max="6"/>
    <col width="13.44140625" customWidth="1" style="196" min="7" max="7"/>
    <col width="12.6640625" customWidth="1" style="196" min="8" max="8"/>
    <col width="13.88671875" customWidth="1" style="196" min="9" max="9"/>
    <col width="17.5546875" customWidth="1" style="196" min="10" max="10"/>
    <col width="10.88671875" customWidth="1" style="196" min="11" max="11"/>
    <col width="9.109375" customWidth="1" style="196" min="12" max="12"/>
  </cols>
  <sheetData>
    <row r="1">
      <c r="M1" s="196" t="n"/>
      <c r="N1" s="196" t="n"/>
    </row>
    <row r="2" ht="15.75" customHeight="1" s="212">
      <c r="H2" s="255" t="inlineStr">
        <is>
          <t>Приложение №5</t>
        </is>
      </c>
      <c r="M2" s="196" t="n"/>
      <c r="N2" s="196" t="n"/>
    </row>
    <row r="3">
      <c r="M3" s="196" t="n"/>
      <c r="N3" s="196" t="n"/>
    </row>
    <row r="4" ht="12.75" customFormat="1" customHeight="1" s="186">
      <c r="A4" s="234" t="inlineStr">
        <is>
          <t>Расчет стоимости СМР и оборудования</t>
        </is>
      </c>
    </row>
    <row r="5" ht="12.75" customFormat="1" customHeight="1" s="186">
      <c r="A5" s="234" t="n"/>
      <c r="B5" s="234" t="n"/>
      <c r="C5" s="281" t="n"/>
      <c r="D5" s="234" t="n"/>
      <c r="E5" s="234" t="n"/>
      <c r="F5" s="234" t="n"/>
      <c r="G5" s="234" t="n"/>
      <c r="H5" s="234" t="n"/>
      <c r="I5" s="234" t="n"/>
      <c r="J5" s="234" t="n"/>
    </row>
    <row r="6" ht="12.75" customFormat="1" customHeight="1" s="186">
      <c r="A6" s="134" t="inlineStr">
        <is>
          <t>Наименование разрабатываемого показателя УНЦ</t>
        </is>
      </c>
      <c r="B6" s="133" t="n"/>
      <c r="C6" s="133" t="n"/>
      <c r="D6" s="261" t="inlineStr">
        <is>
          <t>КЛ 500 кВ (с алюминиевой жилой) сечение жилы 800 мм2</t>
        </is>
      </c>
    </row>
    <row r="7" ht="12.75" customFormat="1" customHeight="1" s="186">
      <c r="A7" s="237" t="inlineStr">
        <is>
          <t>Единица измерения  — 1 км</t>
        </is>
      </c>
      <c r="I7" s="253" t="n"/>
      <c r="J7" s="253" t="n"/>
    </row>
    <row r="8" ht="13.65" customFormat="1" customHeight="1" s="186">
      <c r="A8" s="237" t="n"/>
    </row>
    <row r="9" ht="13.2" customFormat="1" customHeight="1" s="186"/>
    <row r="10" ht="27" customHeight="1" s="212">
      <c r="A10" s="258" t="inlineStr">
        <is>
          <t>№ пп.</t>
        </is>
      </c>
      <c r="B10" s="258" t="inlineStr">
        <is>
          <t>Код ресурса</t>
        </is>
      </c>
      <c r="C10" s="258" t="inlineStr">
        <is>
          <t>Наименование</t>
        </is>
      </c>
      <c r="D10" s="258" t="inlineStr">
        <is>
          <t>Ед. изм.</t>
        </is>
      </c>
      <c r="E10" s="258" t="inlineStr">
        <is>
          <t>Кол-во единиц по проектным данным</t>
        </is>
      </c>
      <c r="F10" s="258" t="inlineStr">
        <is>
          <t>Сметная стоимость в ценах на 01.01.2000 (руб.)</t>
        </is>
      </c>
      <c r="G10" s="326" t="n"/>
      <c r="H10" s="258" t="inlineStr">
        <is>
          <t>Удельный вес, %</t>
        </is>
      </c>
      <c r="I10" s="258" t="inlineStr">
        <is>
          <t>Сметная стоимость в ценах на 01.01.2023 (руб.)</t>
        </is>
      </c>
      <c r="J10" s="326" t="n"/>
      <c r="M10" s="196" t="n"/>
      <c r="N10" s="196" t="n"/>
    </row>
    <row r="11" ht="28.5" customHeight="1" s="212">
      <c r="A11" s="328" t="n"/>
      <c r="B11" s="328" t="n"/>
      <c r="C11" s="328" t="n"/>
      <c r="D11" s="328" t="n"/>
      <c r="E11" s="328" t="n"/>
      <c r="F11" s="258" t="inlineStr">
        <is>
          <t>на ед. изм.</t>
        </is>
      </c>
      <c r="G11" s="258" t="inlineStr">
        <is>
          <t>общая</t>
        </is>
      </c>
      <c r="H11" s="328" t="n"/>
      <c r="I11" s="258" t="inlineStr">
        <is>
          <t>на ед. изм.</t>
        </is>
      </c>
      <c r="J11" s="258" t="inlineStr">
        <is>
          <t>общая</t>
        </is>
      </c>
      <c r="M11" s="196" t="n"/>
      <c r="N11" s="196" t="n"/>
    </row>
    <row r="12">
      <c r="A12" s="258" t="n">
        <v>1</v>
      </c>
      <c r="B12" s="258" t="n">
        <v>2</v>
      </c>
      <c r="C12" s="258" t="n">
        <v>3</v>
      </c>
      <c r="D12" s="258" t="n">
        <v>4</v>
      </c>
      <c r="E12" s="258" t="n">
        <v>5</v>
      </c>
      <c r="F12" s="258" t="n">
        <v>6</v>
      </c>
      <c r="G12" s="258" t="n">
        <v>7</v>
      </c>
      <c r="H12" s="258" t="n">
        <v>8</v>
      </c>
      <c r="I12" s="259" t="n">
        <v>9</v>
      </c>
      <c r="J12" s="259" t="n">
        <v>10</v>
      </c>
      <c r="M12" s="196" t="n"/>
      <c r="N12" s="196" t="n"/>
    </row>
    <row r="13">
      <c r="A13" s="258" t="n"/>
      <c r="B13" s="247" t="inlineStr">
        <is>
          <t>Затраты труда рабочих-строителей</t>
        </is>
      </c>
      <c r="C13" s="325" t="n"/>
      <c r="D13" s="325" t="n"/>
      <c r="E13" s="325" t="n"/>
      <c r="F13" s="325" t="n"/>
      <c r="G13" s="325" t="n"/>
      <c r="H13" s="326" t="n"/>
      <c r="I13" s="122" t="n"/>
      <c r="J13" s="122" t="n"/>
    </row>
    <row r="14" ht="25.5" customHeight="1" s="212">
      <c r="A14" s="258" t="n">
        <v>1</v>
      </c>
      <c r="B14" s="132" t="inlineStr">
        <is>
          <t>1-4-0</t>
        </is>
      </c>
      <c r="C14" s="266" t="inlineStr">
        <is>
          <t>Затраты труда рабочих-строителей среднего разряда (4,0)</t>
        </is>
      </c>
      <c r="D14" s="258" t="inlineStr">
        <is>
          <t>чел.-ч.</t>
        </is>
      </c>
      <c r="E14" s="333">
        <f>G14/F14</f>
        <v/>
      </c>
      <c r="F14" s="26" t="n">
        <v>9.619999999999999</v>
      </c>
      <c r="G14" s="26">
        <f>'Прил. 3'!H11</f>
        <v/>
      </c>
      <c r="H14" s="125">
        <f>G14/G15</f>
        <v/>
      </c>
      <c r="I14" s="26">
        <f>ФОТр.тек.!E13</f>
        <v/>
      </c>
      <c r="J14" s="26">
        <f>ROUND(I14*E14,2)</f>
        <v/>
      </c>
    </row>
    <row r="15" ht="25.5" customFormat="1" customHeight="1" s="196">
      <c r="A15" s="258" t="n"/>
      <c r="B15" s="258" t="n"/>
      <c r="C15" s="247" t="inlineStr">
        <is>
          <t>Итого по разделу "Затраты труда рабочих-строителей"</t>
        </is>
      </c>
      <c r="D15" s="258" t="inlineStr">
        <is>
          <t>чел.-ч.</t>
        </is>
      </c>
      <c r="E15" s="333">
        <f>SUM(E14:E14)</f>
        <v/>
      </c>
      <c r="F15" s="26" t="n"/>
      <c r="G15" s="26">
        <f>SUM(G14:G14)</f>
        <v/>
      </c>
      <c r="H15" s="269" t="n">
        <v>1</v>
      </c>
      <c r="I15" s="122" t="n"/>
      <c r="J15" s="26">
        <f>SUM(J14:J14)</f>
        <v/>
      </c>
    </row>
    <row r="16" ht="14.25" customFormat="1" customHeight="1" s="196">
      <c r="A16" s="258" t="n"/>
      <c r="B16" s="266" t="inlineStr">
        <is>
          <t>Затраты труда машинистов</t>
        </is>
      </c>
      <c r="C16" s="325" t="n"/>
      <c r="D16" s="325" t="n"/>
      <c r="E16" s="325" t="n"/>
      <c r="F16" s="325" t="n"/>
      <c r="G16" s="325" t="n"/>
      <c r="H16" s="326" t="n"/>
      <c r="I16" s="122" t="n"/>
      <c r="J16" s="122" t="n"/>
    </row>
    <row r="17" ht="14.25" customFormat="1" customHeight="1" s="196">
      <c r="A17" s="258" t="n">
        <v>2</v>
      </c>
      <c r="B17" s="258" t="n">
        <v>2</v>
      </c>
      <c r="C17" s="266" t="inlineStr">
        <is>
          <t>Затраты труда машинистов</t>
        </is>
      </c>
      <c r="D17" s="258" t="inlineStr">
        <is>
          <t>чел.-ч.</t>
        </is>
      </c>
      <c r="E17" s="333" t="n">
        <v>104.5</v>
      </c>
      <c r="F17" s="26">
        <f>G17/E17</f>
        <v/>
      </c>
      <c r="G17" s="26">
        <f>'Прил. 3'!H13</f>
        <v/>
      </c>
      <c r="H17" s="269" t="n">
        <v>1</v>
      </c>
      <c r="I17" s="26">
        <f>ROUND(F17*'Прил. 10'!D11,2)</f>
        <v/>
      </c>
      <c r="J17" s="26">
        <f>ROUND(I17*E17,2)</f>
        <v/>
      </c>
    </row>
    <row r="18" ht="14.25" customFormat="1" customHeight="1" s="196">
      <c r="A18" s="258" t="n"/>
      <c r="B18" s="247" t="inlineStr">
        <is>
          <t>Машины и механизмы</t>
        </is>
      </c>
      <c r="C18" s="325" t="n"/>
      <c r="D18" s="325" t="n"/>
      <c r="E18" s="325" t="n"/>
      <c r="F18" s="325" t="n"/>
      <c r="G18" s="325" t="n"/>
      <c r="H18" s="326" t="n"/>
      <c r="I18" s="122" t="n"/>
      <c r="J18" s="122" t="n"/>
    </row>
    <row r="19" ht="14.25" customFormat="1" customHeight="1" s="196">
      <c r="A19" s="258" t="n"/>
      <c r="B19" s="266" t="inlineStr">
        <is>
          <t>Основные машины и механизмы</t>
        </is>
      </c>
      <c r="C19" s="325" t="n"/>
      <c r="D19" s="325" t="n"/>
      <c r="E19" s="325" t="n"/>
      <c r="F19" s="325" t="n"/>
      <c r="G19" s="325" t="n"/>
      <c r="H19" s="326" t="n"/>
      <c r="I19" s="122" t="n"/>
      <c r="J19" s="122" t="n"/>
    </row>
    <row r="20" ht="25.5" customFormat="1" customHeight="1" s="196">
      <c r="A20" s="258" t="n">
        <v>3</v>
      </c>
      <c r="B20" s="175" t="inlineStr">
        <is>
          <t>91.05.05-018</t>
        </is>
      </c>
      <c r="C20" s="169" t="inlineStr">
        <is>
          <t>Краны на автомобильном ходу, грузоподъемность 63 т</t>
        </is>
      </c>
      <c r="D20" s="279" t="inlineStr">
        <is>
          <t>маш.час</t>
        </is>
      </c>
      <c r="E20" s="334" t="n">
        <v>19.9</v>
      </c>
      <c r="F20" s="176" t="n">
        <v>823.23</v>
      </c>
      <c r="G20" s="26">
        <f>ROUND(E20*F20,2)</f>
        <v/>
      </c>
      <c r="H20" s="125">
        <f>G20/$G$32</f>
        <v/>
      </c>
      <c r="I20" s="26">
        <f>ROUND(F20*'Прил. 10'!$D$12,2)</f>
        <v/>
      </c>
      <c r="J20" s="26">
        <f>ROUND(I20*E20,2)</f>
        <v/>
      </c>
    </row>
    <row r="21" ht="25.5" customFormat="1" customHeight="1" s="196">
      <c r="A21" s="258" t="n">
        <v>4</v>
      </c>
      <c r="B21" s="175" t="inlineStr">
        <is>
          <t>91.06.03-012</t>
        </is>
      </c>
      <c r="C21" s="169" t="inlineStr">
        <is>
          <t>Лебедки-прицепы гидравлические для протяжки кабеля, тяговое усилие 10 т</t>
        </is>
      </c>
      <c r="D21" s="279" t="inlineStr">
        <is>
          <t>маш.час</t>
        </is>
      </c>
      <c r="E21" s="334" t="n">
        <v>34.5</v>
      </c>
      <c r="F21" s="176" t="n">
        <v>244.95</v>
      </c>
      <c r="G21" s="26">
        <f>ROUND(E21*F21,2)</f>
        <v/>
      </c>
      <c r="H21" s="125">
        <f>G21/$G$32</f>
        <v/>
      </c>
      <c r="I21" s="26">
        <f>ROUND(F21*'Прил. 10'!$D$12,2)</f>
        <v/>
      </c>
      <c r="J21" s="26">
        <f>ROUND(I21*E21,2)</f>
        <v/>
      </c>
    </row>
    <row r="22" ht="14.25" customFormat="1" customHeight="1" s="196">
      <c r="A22" s="258" t="n"/>
      <c r="B22" s="258" t="n"/>
      <c r="C22" s="266" t="inlineStr">
        <is>
          <t>Итого основные машины и механизмы</t>
        </is>
      </c>
      <c r="D22" s="258" t="n"/>
      <c r="E22" s="333" t="n"/>
      <c r="F22" s="26" t="n"/>
      <c r="G22" s="26">
        <f>SUM(G20:G21)</f>
        <v/>
      </c>
      <c r="H22" s="269">
        <f>G22/G32</f>
        <v/>
      </c>
      <c r="I22" s="124" t="n"/>
      <c r="J22" s="26">
        <f>SUM(J20:J21)</f>
        <v/>
      </c>
    </row>
    <row r="23" hidden="1" outlineLevel="1" ht="14.25" customFormat="1" customHeight="1" s="196">
      <c r="A23" s="258" t="n">
        <v>5</v>
      </c>
      <c r="B23" s="175" t="inlineStr">
        <is>
          <t>91.14.04-003</t>
        </is>
      </c>
      <c r="C23" s="169" t="inlineStr">
        <is>
          <t>Тягачи седельные, грузоподъемность 30 т</t>
        </is>
      </c>
      <c r="D23" s="279" t="inlineStr">
        <is>
          <t>маш.час</t>
        </is>
      </c>
      <c r="E23" s="279" t="n">
        <v>16.7</v>
      </c>
      <c r="F23" s="176" t="n">
        <v>120.31</v>
      </c>
      <c r="G23" s="26">
        <f>ROUND(E23*F23,2)</f>
        <v/>
      </c>
      <c r="H23" s="125">
        <f>G23/$G$32</f>
        <v/>
      </c>
      <c r="I23" s="26">
        <f>ROUND(F23*'Прил. 10'!$D$12,2)</f>
        <v/>
      </c>
      <c r="J23" s="26">
        <f>ROUND(I23*E23,2)</f>
        <v/>
      </c>
    </row>
    <row r="24" hidden="1" outlineLevel="1" ht="25.5" customFormat="1" customHeight="1" s="196">
      <c r="A24" s="258" t="n">
        <v>6</v>
      </c>
      <c r="B24" s="175" t="inlineStr">
        <is>
          <t>91.05.13-001</t>
        </is>
      </c>
      <c r="C24" s="169" t="inlineStr">
        <is>
          <t>Автомобили бортовые, грузоподъемность до 6 т, с краном-манипулятором-4,0 т</t>
        </is>
      </c>
      <c r="D24" s="279" t="inlineStr">
        <is>
          <t>маш.час</t>
        </is>
      </c>
      <c r="E24" s="279" t="n">
        <v>2.2</v>
      </c>
      <c r="F24" s="176" t="n">
        <v>288.03</v>
      </c>
      <c r="G24" s="26">
        <f>ROUND(E24*F24,2)</f>
        <v/>
      </c>
      <c r="H24" s="125">
        <f>G24/$G$32</f>
        <v/>
      </c>
      <c r="I24" s="26">
        <f>ROUND(F24*'Прил. 10'!$D$12,2)</f>
        <v/>
      </c>
      <c r="J24" s="26">
        <f>ROUND(I24*E24,2)</f>
        <v/>
      </c>
    </row>
    <row r="25" hidden="1" outlineLevel="1" ht="25.5" customFormat="1" customHeight="1" s="196">
      <c r="A25" s="258" t="n">
        <v>7</v>
      </c>
      <c r="B25" s="175" t="inlineStr">
        <is>
          <t>91.11.01-021</t>
        </is>
      </c>
      <c r="C25" s="169" t="inlineStr">
        <is>
          <t>Устройства подталкивающие для протяжки кабеля, тяговое усилие 800 кг</t>
        </is>
      </c>
      <c r="D25" s="279" t="inlineStr">
        <is>
          <t>маш.час</t>
        </is>
      </c>
      <c r="E25" s="279" t="n">
        <v>24.6</v>
      </c>
      <c r="F25" s="176" t="n">
        <v>25.37</v>
      </c>
      <c r="G25" s="26">
        <f>ROUND(E25*F25,2)</f>
        <v/>
      </c>
      <c r="H25" s="125">
        <f>G25/$G$32</f>
        <v/>
      </c>
      <c r="I25" s="26">
        <f>ROUND(F25*'Прил. 10'!$D$12,2)</f>
        <v/>
      </c>
      <c r="J25" s="26">
        <f>ROUND(I25*E25,2)</f>
        <v/>
      </c>
    </row>
    <row r="26" hidden="1" outlineLevel="1" ht="25.5" customFormat="1" customHeight="1" s="196">
      <c r="A26" s="258" t="n">
        <v>8</v>
      </c>
      <c r="B26" s="175" t="inlineStr">
        <is>
          <t>91.14.05-002</t>
        </is>
      </c>
      <c r="C26" s="169" t="inlineStr">
        <is>
          <t>Полуприцепы-тяжеловозы, грузоподъемность 40 т</t>
        </is>
      </c>
      <c r="D26" s="279" t="inlineStr">
        <is>
          <t>маш.час</t>
        </is>
      </c>
      <c r="E26" s="279" t="n">
        <v>16.7</v>
      </c>
      <c r="F26" s="176" t="n">
        <v>28.65</v>
      </c>
      <c r="G26" s="26">
        <f>ROUND(E26*F26,2)</f>
        <v/>
      </c>
      <c r="H26" s="125">
        <f>G26/$G$32</f>
        <v/>
      </c>
      <c r="I26" s="26">
        <f>ROUND(F26*'Прил. 10'!$D$12,2)</f>
        <v/>
      </c>
      <c r="J26" s="26">
        <f>ROUND(I26*E26,2)</f>
        <v/>
      </c>
    </row>
    <row r="27" hidden="1" outlineLevel="1" ht="25.5" customFormat="1" customHeight="1" s="196">
      <c r="A27" s="258" t="n">
        <v>9</v>
      </c>
      <c r="B27" s="175" t="inlineStr">
        <is>
          <t>91.16.01-002</t>
        </is>
      </c>
      <c r="C27" s="169" t="inlineStr">
        <is>
          <t>Электростанции передвижные, мощность 4 кВт</t>
        </is>
      </c>
      <c r="D27" s="279" t="inlineStr">
        <is>
          <t>маш.час</t>
        </is>
      </c>
      <c r="E27" s="279" t="n">
        <v>11.3</v>
      </c>
      <c r="F27" s="176" t="n">
        <v>27.11</v>
      </c>
      <c r="G27" s="26">
        <f>ROUND(E27*F27,2)</f>
        <v/>
      </c>
      <c r="H27" s="125">
        <f>G27/$G$32</f>
        <v/>
      </c>
      <c r="I27" s="26">
        <f>ROUND(F27*'Прил. 10'!$D$12,2)</f>
        <v/>
      </c>
      <c r="J27" s="26">
        <f>ROUND(I27*E27,2)</f>
        <v/>
      </c>
    </row>
    <row r="28" hidden="1" outlineLevel="1" ht="14.25" customFormat="1" customHeight="1" s="196">
      <c r="A28" s="258" t="n">
        <v>10</v>
      </c>
      <c r="B28" s="175" t="inlineStr">
        <is>
          <t>91.17.04-091</t>
        </is>
      </c>
      <c r="C28" s="169" t="inlineStr">
        <is>
          <t>Горелки газовые инжекторные</t>
        </is>
      </c>
      <c r="D28" s="279" t="inlineStr">
        <is>
          <t>маш.час</t>
        </is>
      </c>
      <c r="E28" s="279" t="n">
        <v>11.3</v>
      </c>
      <c r="F28" s="176" t="n">
        <v>13.5</v>
      </c>
      <c r="G28" s="26">
        <f>ROUND(E28*F28,2)</f>
        <v/>
      </c>
      <c r="H28" s="125">
        <f>G28/$G$32</f>
        <v/>
      </c>
      <c r="I28" s="26">
        <f>ROUND(F28*'Прил. 10'!$D$12,2)</f>
        <v/>
      </c>
      <c r="J28" s="26">
        <f>ROUND(I28*E28,2)</f>
        <v/>
      </c>
    </row>
    <row r="29" hidden="1" outlineLevel="1" ht="14.25" customFormat="1" customHeight="1" s="196">
      <c r="A29" s="258" t="n">
        <v>11</v>
      </c>
      <c r="B29" s="175" t="inlineStr">
        <is>
          <t>91.21.15-022</t>
        </is>
      </c>
      <c r="C29" s="169" t="inlineStr">
        <is>
          <t>Пилы ленточные с поворотной пилорамой</t>
        </is>
      </c>
      <c r="D29" s="279" t="inlineStr">
        <is>
          <t>маш.час</t>
        </is>
      </c>
      <c r="E29" s="279" t="n">
        <v>11.3</v>
      </c>
      <c r="F29" s="176" t="n">
        <v>3.31</v>
      </c>
      <c r="G29" s="26">
        <f>ROUND(E29*F29,2)</f>
        <v/>
      </c>
      <c r="H29" s="125">
        <f>G29/$G$32</f>
        <v/>
      </c>
      <c r="I29" s="26">
        <f>ROUND(F29*'Прил. 10'!$D$12,2)</f>
        <v/>
      </c>
      <c r="J29" s="26">
        <f>ROUND(I29*E29,2)</f>
        <v/>
      </c>
    </row>
    <row r="30" hidden="1" outlineLevel="1" ht="25.5" customFormat="1" customHeight="1" s="196">
      <c r="A30" s="258" t="n">
        <v>12</v>
      </c>
      <c r="B30" s="175" t="inlineStr">
        <is>
          <t>91.06.01-002</t>
        </is>
      </c>
      <c r="C30" s="169" t="inlineStr">
        <is>
          <t>Домкраты гидравлические, грузоподъемность 6,3-25 т</t>
        </is>
      </c>
      <c r="D30" s="279" t="inlineStr">
        <is>
          <t>маш.час</t>
        </is>
      </c>
      <c r="E30" s="279" t="n">
        <v>57.3</v>
      </c>
      <c r="F30" s="176" t="n">
        <v>0.48</v>
      </c>
      <c r="G30" s="26">
        <f>ROUND(E30*F30,2)</f>
        <v/>
      </c>
      <c r="H30" s="125">
        <f>G30/$G$32</f>
        <v/>
      </c>
      <c r="I30" s="26">
        <f>ROUND(F30*'Прил. 10'!$D$12,2)</f>
        <v/>
      </c>
      <c r="J30" s="26">
        <f>ROUND(I30*E30,2)</f>
        <v/>
      </c>
    </row>
    <row r="31" collapsed="1" ht="14.25" customFormat="1" customHeight="1" s="196">
      <c r="A31" s="258" t="n"/>
      <c r="B31" s="258" t="n"/>
      <c r="C31" s="266" t="inlineStr">
        <is>
          <t>Итого прочие машины и механизмы</t>
        </is>
      </c>
      <c r="D31" s="258" t="n"/>
      <c r="E31" s="267" t="n"/>
      <c r="F31" s="26" t="n"/>
      <c r="G31" s="124">
        <f>SUM(G23:G30)</f>
        <v/>
      </c>
      <c r="H31" s="125">
        <f>G31/G32</f>
        <v/>
      </c>
      <c r="I31" s="26" t="n"/>
      <c r="J31" s="26">
        <f>SUM(J23:J30)</f>
        <v/>
      </c>
    </row>
    <row r="32" ht="25.5" customFormat="1" customHeight="1" s="196">
      <c r="A32" s="258" t="n"/>
      <c r="B32" s="258" t="n"/>
      <c r="C32" s="247" t="inlineStr">
        <is>
          <t>Итого по разделу «Машины и механизмы»</t>
        </is>
      </c>
      <c r="D32" s="258" t="n"/>
      <c r="E32" s="267" t="n"/>
      <c r="F32" s="26" t="n"/>
      <c r="G32" s="26">
        <f>G31+G22</f>
        <v/>
      </c>
      <c r="H32" s="126" t="n">
        <v>1</v>
      </c>
      <c r="I32" s="127" t="n"/>
      <c r="J32" s="128">
        <f>J31+J22</f>
        <v/>
      </c>
    </row>
    <row r="33" ht="14.25" customFormat="1" customHeight="1" s="196">
      <c r="A33" s="258" t="n"/>
      <c r="B33" s="247" t="inlineStr">
        <is>
          <t>Оборудование</t>
        </is>
      </c>
      <c r="C33" s="325" t="n"/>
      <c r="D33" s="325" t="n"/>
      <c r="E33" s="325" t="n"/>
      <c r="F33" s="325" t="n"/>
      <c r="G33" s="325" t="n"/>
      <c r="H33" s="326" t="n"/>
      <c r="I33" s="122" t="n"/>
      <c r="J33" s="122" t="n"/>
    </row>
    <row r="34">
      <c r="A34" s="258" t="n"/>
      <c r="B34" s="266" t="inlineStr">
        <is>
          <t>Основное оборудование</t>
        </is>
      </c>
      <c r="C34" s="325" t="n"/>
      <c r="D34" s="325" t="n"/>
      <c r="E34" s="325" t="n"/>
      <c r="F34" s="325" t="n"/>
      <c r="G34" s="325" t="n"/>
      <c r="H34" s="326" t="n"/>
      <c r="I34" s="122" t="n"/>
      <c r="J34" s="122" t="n"/>
    </row>
    <row r="35">
      <c r="A35" s="258" t="n"/>
      <c r="B35" s="258" t="n"/>
      <c r="C35" s="266" t="inlineStr">
        <is>
          <t>Итого основное оборудование</t>
        </is>
      </c>
      <c r="D35" s="258" t="n"/>
      <c r="E35" s="335" t="n"/>
      <c r="F35" s="268" t="n"/>
      <c r="G35" s="26" t="n">
        <v>0</v>
      </c>
      <c r="H35" s="125" t="n">
        <v>0</v>
      </c>
      <c r="I35" s="124" t="n"/>
      <c r="J35" s="26" t="n">
        <v>0</v>
      </c>
    </row>
    <row r="36">
      <c r="A36" s="258" t="n"/>
      <c r="B36" s="258" t="n"/>
      <c r="C36" s="266" t="inlineStr">
        <is>
          <t>Итого прочее оборудование</t>
        </is>
      </c>
      <c r="D36" s="258" t="n"/>
      <c r="E36" s="333" t="n"/>
      <c r="F36" s="268" t="n"/>
      <c r="G36" s="26" t="n">
        <v>0</v>
      </c>
      <c r="H36" s="125" t="n">
        <v>0</v>
      </c>
      <c r="I36" s="124" t="n"/>
      <c r="J36" s="26" t="n">
        <v>0</v>
      </c>
    </row>
    <row r="37">
      <c r="A37" s="258" t="n"/>
      <c r="B37" s="258" t="n"/>
      <c r="C37" s="247" t="inlineStr">
        <is>
          <t>Итого по разделу «Оборудование»</t>
        </is>
      </c>
      <c r="D37" s="258" t="n"/>
      <c r="E37" s="267" t="n"/>
      <c r="F37" s="268" t="n"/>
      <c r="G37" s="26">
        <f>G35+G36</f>
        <v/>
      </c>
      <c r="H37" s="125" t="n">
        <v>0</v>
      </c>
      <c r="I37" s="124" t="n"/>
      <c r="J37" s="26">
        <f>J36+J35</f>
        <v/>
      </c>
    </row>
    <row r="38" ht="25.5" customHeight="1" s="212">
      <c r="A38" s="258" t="n"/>
      <c r="B38" s="258" t="n"/>
      <c r="C38" s="266" t="inlineStr">
        <is>
          <t>в том числе технологическое оборудование</t>
        </is>
      </c>
      <c r="D38" s="258" t="n"/>
      <c r="E38" s="335" t="n"/>
      <c r="F38" s="268" t="n"/>
      <c r="G38" s="26">
        <f>'Прил.6 Расчет ОБ'!G12</f>
        <v/>
      </c>
      <c r="H38" s="269" t="n"/>
      <c r="I38" s="124" t="n"/>
      <c r="J38" s="26">
        <f>J37</f>
        <v/>
      </c>
    </row>
    <row r="39" ht="14.25" customFormat="1" customHeight="1" s="196">
      <c r="A39" s="258" t="n"/>
      <c r="B39" s="247" t="inlineStr">
        <is>
          <t>Материалы</t>
        </is>
      </c>
      <c r="C39" s="325" t="n"/>
      <c r="D39" s="325" t="n"/>
      <c r="E39" s="325" t="n"/>
      <c r="F39" s="325" t="n"/>
      <c r="G39" s="325" t="n"/>
      <c r="H39" s="326" t="n"/>
      <c r="I39" s="122" t="n"/>
      <c r="J39" s="122" t="n"/>
    </row>
    <row r="40" ht="14.25" customFormat="1" customHeight="1" s="196">
      <c r="A40" s="259" t="n"/>
      <c r="B40" s="262" t="inlineStr">
        <is>
          <t>Основные материалы</t>
        </is>
      </c>
      <c r="C40" s="336" t="n"/>
      <c r="D40" s="336" t="n"/>
      <c r="E40" s="336" t="n"/>
      <c r="F40" s="336" t="n"/>
      <c r="G40" s="336" t="n"/>
      <c r="H40" s="337" t="n"/>
      <c r="I40" s="135" t="n"/>
      <c r="J40" s="135" t="n"/>
    </row>
    <row r="41" ht="14.25" customFormat="1" customHeight="1" s="196">
      <c r="A41" s="258" t="n">
        <v>5</v>
      </c>
      <c r="B41" s="258" t="inlineStr">
        <is>
          <t>БЦ.81.845</t>
        </is>
      </c>
      <c r="C41" s="169" t="inlineStr">
        <is>
          <t>Кабель алюминиевый 500кВ 3х800</t>
        </is>
      </c>
      <c r="D41" s="258" t="inlineStr">
        <is>
          <t>км</t>
        </is>
      </c>
      <c r="E41" s="335">
        <f>1*3.3</f>
        <v/>
      </c>
      <c r="F41" s="268">
        <f>ROUND(I41/'Прил. 10'!$D$13,2)</f>
        <v/>
      </c>
      <c r="G41" s="26">
        <f>ROUND(E41*F41,2)</f>
        <v/>
      </c>
      <c r="H41" s="125">
        <f>G41/$G$45</f>
        <v/>
      </c>
      <c r="I41" s="26" t="n">
        <v>32277253.25</v>
      </c>
      <c r="J41" s="26">
        <f>ROUND(I41*E41,2)</f>
        <v/>
      </c>
    </row>
    <row r="42" ht="14.25" customFormat="1" customHeight="1" s="196">
      <c r="A42" s="260" t="n"/>
      <c r="B42" s="137" t="n"/>
      <c r="C42" s="138" t="inlineStr">
        <is>
          <t>Итого основные материалы</t>
        </is>
      </c>
      <c r="D42" s="260" t="n"/>
      <c r="E42" s="338" t="n"/>
      <c r="F42" s="128" t="n"/>
      <c r="G42" s="128">
        <f>SUM(G41:G41)</f>
        <v/>
      </c>
      <c r="H42" s="125">
        <f>G42/$G$45</f>
        <v/>
      </c>
      <c r="I42" s="26" t="n"/>
      <c r="J42" s="128">
        <f>SUM(J41:J41)</f>
        <v/>
      </c>
    </row>
    <row r="43" outlineLevel="1" ht="14.25" customFormat="1" customHeight="1" s="196">
      <c r="A43" s="258" t="n">
        <v>6</v>
      </c>
      <c r="B43" s="175" t="inlineStr">
        <is>
          <t>01.3.02.09-0022</t>
        </is>
      </c>
      <c r="C43" s="169" t="inlineStr">
        <is>
          <t>Пропан-бутан смесь техническая</t>
        </is>
      </c>
      <c r="D43" s="279" t="inlineStr">
        <is>
          <t>кг</t>
        </is>
      </c>
      <c r="E43" s="334" t="n">
        <v>3.617</v>
      </c>
      <c r="F43" s="167" t="n">
        <v>6.09</v>
      </c>
      <c r="G43" s="26">
        <f>ROUND(E43*F43,2)</f>
        <v/>
      </c>
      <c r="H43" s="125">
        <f>G43/$G$45</f>
        <v/>
      </c>
      <c r="I43" s="26">
        <f>ROUND(F43*'Прил. 10'!$D$13,2)</f>
        <v/>
      </c>
      <c r="J43" s="26">
        <f>ROUND(I43*E43,2)</f>
        <v/>
      </c>
    </row>
    <row r="44" ht="14.25" customFormat="1" customHeight="1" s="196">
      <c r="A44" s="258" t="n"/>
      <c r="B44" s="258" t="n"/>
      <c r="C44" s="266" t="inlineStr">
        <is>
          <t>Итого прочие материалы</t>
        </is>
      </c>
      <c r="D44" s="258" t="n"/>
      <c r="E44" s="335" t="n"/>
      <c r="F44" s="268" t="n"/>
      <c r="G44" s="26">
        <f>SUM(G43:G43)</f>
        <v/>
      </c>
      <c r="H44" s="125">
        <f>G44/$G$45</f>
        <v/>
      </c>
      <c r="I44" s="26" t="n"/>
      <c r="J44" s="26">
        <f>SUM(J43:J43)</f>
        <v/>
      </c>
    </row>
    <row r="45" ht="14.25" customFormat="1" customHeight="1" s="196">
      <c r="A45" s="258" t="n"/>
      <c r="B45" s="258" t="n"/>
      <c r="C45" s="247" t="inlineStr">
        <is>
          <t>Итого по разделу «Материалы»</t>
        </is>
      </c>
      <c r="D45" s="258" t="n"/>
      <c r="E45" s="267" t="n"/>
      <c r="F45" s="268" t="n"/>
      <c r="G45" s="26">
        <f>G42+G44</f>
        <v/>
      </c>
      <c r="H45" s="269">
        <f>G45/$G$45</f>
        <v/>
      </c>
      <c r="I45" s="26" t="n"/>
      <c r="J45" s="26">
        <f>J42+J44</f>
        <v/>
      </c>
    </row>
    <row r="46" ht="14.25" customFormat="1" customHeight="1" s="196">
      <c r="A46" s="258" t="n"/>
      <c r="B46" s="258" t="n"/>
      <c r="C46" s="266" t="inlineStr">
        <is>
          <t>ИТОГО ПО РМ</t>
        </is>
      </c>
      <c r="D46" s="258" t="n"/>
      <c r="E46" s="267" t="n"/>
      <c r="F46" s="268" t="n"/>
      <c r="G46" s="26">
        <f>G15+G32+G45</f>
        <v/>
      </c>
      <c r="H46" s="269" t="n"/>
      <c r="I46" s="26" t="n"/>
      <c r="J46" s="26">
        <f>J15+J32+J45</f>
        <v/>
      </c>
    </row>
    <row r="47" ht="14.25" customFormat="1" customHeight="1" s="196">
      <c r="A47" s="258" t="n"/>
      <c r="B47" s="258" t="n"/>
      <c r="C47" s="266" t="inlineStr">
        <is>
          <t>Накладные расходы</t>
        </is>
      </c>
      <c r="D47" s="130">
        <f>ROUND(G47/(G$17+$G$15),2)</f>
        <v/>
      </c>
      <c r="E47" s="267" t="n"/>
      <c r="F47" s="268" t="n"/>
      <c r="G47" s="26" t="n">
        <v>15336.38</v>
      </c>
      <c r="H47" s="269" t="n"/>
      <c r="I47" s="26" t="n"/>
      <c r="J47" s="26">
        <f>ROUND(D47*(J15+J17),2)</f>
        <v/>
      </c>
    </row>
    <row r="48" ht="14.25" customFormat="1" customHeight="1" s="196">
      <c r="A48" s="258" t="n"/>
      <c r="B48" s="258" t="n"/>
      <c r="C48" s="266" t="inlineStr">
        <is>
          <t>Сметная прибыль</t>
        </is>
      </c>
      <c r="D48" s="130">
        <f>ROUND(G48/(G$15+G$17),2)</f>
        <v/>
      </c>
      <c r="E48" s="267" t="n"/>
      <c r="F48" s="268" t="n"/>
      <c r="G48" s="26" t="n">
        <v>8063.46</v>
      </c>
      <c r="H48" s="269" t="n"/>
      <c r="I48" s="26" t="n"/>
      <c r="J48" s="26">
        <f>ROUND(D48*(J15+J17),2)</f>
        <v/>
      </c>
    </row>
    <row r="49" ht="14.25" customFormat="1" customHeight="1" s="196">
      <c r="A49" s="258" t="n"/>
      <c r="B49" s="258" t="n"/>
      <c r="C49" s="266" t="inlineStr">
        <is>
          <t>Итого СМР (с НР и СП)</t>
        </is>
      </c>
      <c r="D49" s="258" t="n"/>
      <c r="E49" s="267" t="n"/>
      <c r="F49" s="268" t="n"/>
      <c r="G49" s="26">
        <f>G15+G32+G45+G47+G48</f>
        <v/>
      </c>
      <c r="H49" s="269" t="n"/>
      <c r="I49" s="26" t="n"/>
      <c r="J49" s="26">
        <f>J15+J32+J45+J47+J48</f>
        <v/>
      </c>
    </row>
    <row r="50" ht="14.25" customFormat="1" customHeight="1" s="196">
      <c r="A50" s="258" t="n"/>
      <c r="B50" s="258" t="n"/>
      <c r="C50" s="266" t="inlineStr">
        <is>
          <t>ВСЕГО СМР + ОБОРУДОВАНИЕ</t>
        </is>
      </c>
      <c r="D50" s="258" t="n"/>
      <c r="E50" s="267" t="n"/>
      <c r="F50" s="268" t="n"/>
      <c r="G50" s="26">
        <f>G49+G37</f>
        <v/>
      </c>
      <c r="H50" s="269" t="n"/>
      <c r="I50" s="26" t="n"/>
      <c r="J50" s="26">
        <f>J49+J37</f>
        <v/>
      </c>
    </row>
    <row r="51" ht="34.5" customFormat="1" customHeight="1" s="196">
      <c r="A51" s="258" t="n"/>
      <c r="B51" s="258" t="n"/>
      <c r="C51" s="266" t="inlineStr">
        <is>
          <t>ИТОГО ПОКАЗАТЕЛЬ НА ЕД. ИЗМ.</t>
        </is>
      </c>
      <c r="D51" s="258" t="inlineStr">
        <is>
          <t>1 км</t>
        </is>
      </c>
      <c r="E51" s="335" t="n">
        <v>1</v>
      </c>
      <c r="F51" s="268" t="n"/>
      <c r="G51" s="26">
        <f>G50/E51</f>
        <v/>
      </c>
      <c r="H51" s="269" t="n"/>
      <c r="I51" s="26" t="n"/>
      <c r="J51" s="26">
        <f>J50/E51</f>
        <v/>
      </c>
    </row>
    <row r="53" ht="14.25" customFormat="1" customHeight="1" s="196">
      <c r="A53" s="186" t="inlineStr">
        <is>
          <t>Составил ______________________    А.Р. Маркова</t>
        </is>
      </c>
    </row>
    <row r="54" ht="14.25" customFormat="1" customHeight="1" s="196">
      <c r="A54" s="197" t="inlineStr">
        <is>
          <t xml:space="preserve">                         (подпись, инициалы, фамилия)</t>
        </is>
      </c>
    </row>
    <row r="55" ht="14.25" customFormat="1" customHeight="1" s="196">
      <c r="A55" s="186" t="n"/>
    </row>
    <row r="56" ht="14.25" customFormat="1" customHeight="1" s="196">
      <c r="A56" s="186" t="inlineStr">
        <is>
          <t>Проверил ______________________        А.В. Костянецкая</t>
        </is>
      </c>
    </row>
    <row r="57" ht="14.25" customFormat="1" customHeight="1" s="196">
      <c r="A57" s="197" t="inlineStr">
        <is>
          <t xml:space="preserve">                        (подпись, инициалы, фамилия)</t>
        </is>
      </c>
    </row>
  </sheetData>
  <mergeCells count="21">
    <mergeCell ref="B40:H40"/>
    <mergeCell ref="F10:G10"/>
    <mergeCell ref="A4:J4"/>
    <mergeCell ref="B33:H33"/>
    <mergeCell ref="H2:J2"/>
    <mergeCell ref="C10:C11"/>
    <mergeCell ref="E10:E11"/>
    <mergeCell ref="A7:H7"/>
    <mergeCell ref="B16:H16"/>
    <mergeCell ref="B10:B11"/>
    <mergeCell ref="B18:H18"/>
    <mergeCell ref="B39:H39"/>
    <mergeCell ref="D6:J6"/>
    <mergeCell ref="A10:A11"/>
    <mergeCell ref="A8:H8"/>
    <mergeCell ref="D10:D11"/>
    <mergeCell ref="B13:H13"/>
    <mergeCell ref="I10:J10"/>
    <mergeCell ref="B19:H19"/>
    <mergeCell ref="B34:H34"/>
    <mergeCell ref="H10:H11"/>
  </mergeCells>
  <pageMargins left="0.7086614173228347" right="0.7086614173228347" top="0.7480314960629921" bottom="0.7480314960629921" header="0.3149606299212598" footer="0.3149606299212598"/>
  <pageSetup orientation="landscape" paperSize="9" scale="80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F15" sqref="F15"/>
    </sheetView>
  </sheetViews>
  <sheetFormatPr baseColWidth="8" defaultRowHeight="14.4"/>
  <cols>
    <col width="5.6640625" customWidth="1" style="212" min="1" max="1"/>
    <col width="17.5546875" customWidth="1" style="212" min="2" max="2"/>
    <col width="39.109375" customWidth="1" style="212" min="3" max="3"/>
    <col width="10.6640625" customWidth="1" style="212" min="4" max="4"/>
    <col width="13.88671875" customWidth="1" style="212" min="5" max="5"/>
    <col width="13.33203125" customWidth="1" style="212" min="6" max="6"/>
    <col width="14.109375" customWidth="1" style="212" min="7" max="7"/>
  </cols>
  <sheetData>
    <row r="1">
      <c r="A1" s="274" t="inlineStr">
        <is>
          <t>Приложение №6</t>
        </is>
      </c>
    </row>
    <row r="2" ht="21.75" customHeight="1" s="212">
      <c r="A2" s="274" t="n"/>
      <c r="B2" s="274" t="n"/>
      <c r="C2" s="274" t="n"/>
      <c r="D2" s="274" t="n"/>
      <c r="E2" s="274" t="n"/>
      <c r="F2" s="274" t="n"/>
      <c r="G2" s="274" t="n"/>
    </row>
    <row r="3">
      <c r="A3" s="234" t="inlineStr">
        <is>
          <t>Расчет стоимости оборудования</t>
        </is>
      </c>
    </row>
    <row r="4" ht="25.5" customHeight="1" s="212">
      <c r="A4" s="237" t="inlineStr">
        <is>
          <t>Наименование разрабатываемого показателя УНЦ — КЛ 500 кВ (с алюминиевой жилой) сечение жилы 800 мм2</t>
        </is>
      </c>
    </row>
    <row r="5">
      <c r="A5" s="186" t="n"/>
      <c r="B5" s="186" t="n"/>
      <c r="C5" s="186" t="n"/>
      <c r="D5" s="186" t="n"/>
      <c r="E5" s="186" t="n"/>
      <c r="F5" s="186" t="n"/>
      <c r="G5" s="186" t="n"/>
    </row>
    <row r="6" ht="30.15" customHeight="1" s="212">
      <c r="A6" s="279" t="inlineStr">
        <is>
          <t>№ пп.</t>
        </is>
      </c>
      <c r="B6" s="279" t="inlineStr">
        <is>
          <t>Код ресурса</t>
        </is>
      </c>
      <c r="C6" s="279" t="inlineStr">
        <is>
          <t>Наименование</t>
        </is>
      </c>
      <c r="D6" s="279" t="inlineStr">
        <is>
          <t>Ед. изм.</t>
        </is>
      </c>
      <c r="E6" s="258" t="inlineStr">
        <is>
          <t>Кол-во единиц по проектным данным</t>
        </is>
      </c>
      <c r="F6" s="279" t="inlineStr">
        <is>
          <t>Сметная стоимость в ценах на 01.01.2000 (руб.)</t>
        </is>
      </c>
      <c r="G6" s="326" t="n"/>
    </row>
    <row r="7">
      <c r="A7" s="328" t="n"/>
      <c r="B7" s="328" t="n"/>
      <c r="C7" s="328" t="n"/>
      <c r="D7" s="328" t="n"/>
      <c r="E7" s="328" t="n"/>
      <c r="F7" s="258" t="inlineStr">
        <is>
          <t>на ед. изм.</t>
        </is>
      </c>
      <c r="G7" s="258" t="inlineStr">
        <is>
          <t>общая</t>
        </is>
      </c>
    </row>
    <row r="8">
      <c r="A8" s="258" t="n">
        <v>1</v>
      </c>
      <c r="B8" s="258" t="n">
        <v>2</v>
      </c>
      <c r="C8" s="258" t="n">
        <v>3</v>
      </c>
      <c r="D8" s="258" t="n">
        <v>4</v>
      </c>
      <c r="E8" s="258" t="n">
        <v>5</v>
      </c>
      <c r="F8" s="258" t="n">
        <v>6</v>
      </c>
      <c r="G8" s="258" t="n">
        <v>7</v>
      </c>
    </row>
    <row r="9" ht="15" customHeight="1" s="212">
      <c r="A9" s="99" t="n"/>
      <c r="B9" s="266" t="inlineStr">
        <is>
          <t>ИНЖЕНЕРНОЕ ОБОРУДОВАНИЕ</t>
        </is>
      </c>
      <c r="C9" s="325" t="n"/>
      <c r="D9" s="325" t="n"/>
      <c r="E9" s="325" t="n"/>
      <c r="F9" s="325" t="n"/>
      <c r="G9" s="326" t="n"/>
    </row>
    <row r="10" ht="27" customHeight="1" s="212">
      <c r="A10" s="258" t="n"/>
      <c r="B10" s="247" t="n"/>
      <c r="C10" s="266" t="inlineStr">
        <is>
          <t>ИТОГО ИНЖЕНЕРНОЕ ОБОРУДОВАНИЕ</t>
        </is>
      </c>
      <c r="D10" s="247" t="n"/>
      <c r="E10" s="100" t="n"/>
      <c r="F10" s="268" t="n"/>
      <c r="G10" s="268" t="n">
        <v>0</v>
      </c>
    </row>
    <row r="11">
      <c r="A11" s="258" t="n"/>
      <c r="B11" s="266" t="inlineStr">
        <is>
          <t>ТЕХНОЛОГИЧЕСКОЕ ОБОРУДОВАНИЕ</t>
        </is>
      </c>
      <c r="C11" s="325" t="n"/>
      <c r="D11" s="325" t="n"/>
      <c r="E11" s="325" t="n"/>
      <c r="F11" s="325" t="n"/>
      <c r="G11" s="326" t="n"/>
    </row>
    <row r="12" ht="25.5" customHeight="1" s="212">
      <c r="A12" s="258" t="n"/>
      <c r="B12" s="266" t="n"/>
      <c r="C12" s="266" t="inlineStr">
        <is>
          <t>ИТОГО ТЕХНОЛОГИЧЕСКОЕ ОБОРУДОВАНИЕ</t>
        </is>
      </c>
      <c r="D12" s="266" t="n"/>
      <c r="E12" s="278" t="n"/>
      <c r="F12" s="268" t="n"/>
      <c r="G12" s="26" t="n">
        <v>0</v>
      </c>
    </row>
    <row r="13" ht="19.5" customHeight="1" s="212">
      <c r="A13" s="258" t="n"/>
      <c r="B13" s="266" t="n"/>
      <c r="C13" s="266" t="inlineStr">
        <is>
          <t>Всего по разделу «Оборудование»</t>
        </is>
      </c>
      <c r="D13" s="266" t="n"/>
      <c r="E13" s="278" t="n"/>
      <c r="F13" s="268" t="n"/>
      <c r="G13" s="26">
        <f>G10+G12</f>
        <v/>
      </c>
    </row>
    <row r="14">
      <c r="A14" s="194" t="n"/>
      <c r="B14" s="195" t="n"/>
      <c r="C14" s="194" t="n"/>
      <c r="D14" s="194" t="n"/>
      <c r="E14" s="194" t="n"/>
      <c r="F14" s="194" t="n"/>
      <c r="G14" s="194" t="n"/>
    </row>
    <row r="15">
      <c r="A15" s="186" t="inlineStr">
        <is>
          <t>Составил ______________________    А.Р. Маркова</t>
        </is>
      </c>
      <c r="B15" s="196" t="n"/>
      <c r="C15" s="196" t="n"/>
      <c r="D15" s="194" t="n"/>
      <c r="E15" s="194" t="n"/>
      <c r="F15" s="194" t="n"/>
      <c r="G15" s="194" t="n"/>
    </row>
    <row r="16">
      <c r="A16" s="197" t="inlineStr">
        <is>
          <t xml:space="preserve">                         (подпись, инициалы, фамилия)</t>
        </is>
      </c>
      <c r="B16" s="196" t="n"/>
      <c r="C16" s="196" t="n"/>
      <c r="D16" s="194" t="n"/>
      <c r="E16" s="194" t="n"/>
      <c r="F16" s="194" t="n"/>
      <c r="G16" s="194" t="n"/>
    </row>
    <row r="17">
      <c r="A17" s="186" t="n"/>
      <c r="B17" s="196" t="n"/>
      <c r="C17" s="196" t="n"/>
      <c r="D17" s="194" t="n"/>
      <c r="E17" s="194" t="n"/>
      <c r="F17" s="194" t="n"/>
      <c r="G17" s="194" t="n"/>
    </row>
    <row r="18">
      <c r="A18" s="186" t="inlineStr">
        <is>
          <t>Проверил ______________________        А.В. Костянецкая</t>
        </is>
      </c>
      <c r="B18" s="196" t="n"/>
      <c r="C18" s="196" t="n"/>
      <c r="D18" s="194" t="n"/>
      <c r="E18" s="194" t="n"/>
      <c r="F18" s="194" t="n"/>
      <c r="G18" s="194" t="n"/>
    </row>
    <row r="19">
      <c r="A19" s="197" t="inlineStr">
        <is>
          <t xml:space="preserve">                        (подпись, инициалы, фамилия)</t>
        </is>
      </c>
      <c r="B19" s="196" t="n"/>
      <c r="C19" s="196" t="n"/>
      <c r="D19" s="194" t="n"/>
      <c r="E19" s="194" t="n"/>
      <c r="F19" s="194" t="n"/>
      <c r="G19" s="19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13" sqref="C13"/>
    </sheetView>
  </sheetViews>
  <sheetFormatPr baseColWidth="8" defaultColWidth="8.88671875" defaultRowHeight="14.4"/>
  <cols>
    <col width="14.44140625" customWidth="1" style="212" min="1" max="1"/>
    <col width="29.5546875" customWidth="1" style="212" min="2" max="2"/>
    <col width="39.109375" customWidth="1" style="212" min="3" max="3"/>
    <col width="48.109375" customWidth="1" style="212" min="4" max="4"/>
    <col width="8.88671875" customWidth="1" style="212" min="5" max="5"/>
  </cols>
  <sheetData>
    <row r="1">
      <c r="B1" s="186" t="n"/>
      <c r="C1" s="186" t="n"/>
      <c r="D1" s="274" t="inlineStr">
        <is>
          <t>Приложение №7</t>
        </is>
      </c>
    </row>
    <row r="2" ht="25.95" customHeight="1" s="212">
      <c r="A2" s="274" t="n"/>
      <c r="B2" s="274" t="n"/>
      <c r="C2" s="274" t="n"/>
      <c r="D2" s="274" t="n"/>
    </row>
    <row r="3" ht="24.75" customHeight="1" s="212">
      <c r="A3" s="234" t="inlineStr">
        <is>
          <t>Расчет показателя УНЦ</t>
        </is>
      </c>
    </row>
    <row r="4" ht="24.75" customHeight="1" s="212">
      <c r="A4" s="234" t="n"/>
      <c r="B4" s="234" t="n"/>
      <c r="C4" s="234" t="n"/>
      <c r="D4" s="234" t="n"/>
    </row>
    <row r="5" ht="24.6" customHeight="1" s="212">
      <c r="A5" s="237" t="inlineStr">
        <is>
          <t xml:space="preserve">Наименование разрабатываемого показателя УНЦ - </t>
        </is>
      </c>
      <c r="D5" s="237">
        <f>'Прил.5 Расчет СМР и ОБ'!D6:J6</f>
        <v/>
      </c>
    </row>
    <row r="6" ht="19.95" customHeight="1" s="212">
      <c r="A6" s="237" t="inlineStr">
        <is>
          <t>Единица измерения  — 1 км</t>
        </is>
      </c>
      <c r="D6" s="237" t="n"/>
    </row>
    <row r="7">
      <c r="A7" s="186" t="n"/>
      <c r="B7" s="186" t="n"/>
      <c r="C7" s="186" t="n"/>
      <c r="D7" s="186" t="n"/>
    </row>
    <row r="8" ht="14.4" customHeight="1" s="212">
      <c r="A8" s="246" t="inlineStr">
        <is>
          <t>Код показателя</t>
        </is>
      </c>
      <c r="B8" s="246" t="inlineStr">
        <is>
          <t>Наименование показателя</t>
        </is>
      </c>
      <c r="C8" s="246" t="inlineStr">
        <is>
          <t>Наименование РМ, входящих в состав показателя</t>
        </is>
      </c>
      <c r="D8" s="246" t="inlineStr">
        <is>
          <t>Норматив цены на 01.01.2023, тыс.руб.</t>
        </is>
      </c>
    </row>
    <row r="9" ht="15" customHeight="1" s="212">
      <c r="A9" s="328" t="n"/>
      <c r="B9" s="328" t="n"/>
      <c r="C9" s="328" t="n"/>
      <c r="D9" s="328" t="n"/>
    </row>
    <row r="10">
      <c r="A10" s="258" t="n">
        <v>1</v>
      </c>
      <c r="B10" s="258" t="n">
        <v>2</v>
      </c>
      <c r="C10" s="258" t="n">
        <v>3</v>
      </c>
      <c r="D10" s="258" t="n">
        <v>4</v>
      </c>
    </row>
    <row r="11" ht="41.4" customHeight="1" s="212">
      <c r="A11" s="258" t="inlineStr">
        <is>
          <t>К1-13-8</t>
        </is>
      </c>
      <c r="B11" s="258" t="inlineStr">
        <is>
          <t>УНЦ КЛ 6-500 кВ (с алюминиевой жилой)</t>
        </is>
      </c>
      <c r="C11" s="191">
        <f>D5</f>
        <v/>
      </c>
      <c r="D11" s="192">
        <f>'Прил.4 РМ'!C41/1000</f>
        <v/>
      </c>
      <c r="E11" s="193" t="n"/>
    </row>
    <row r="12">
      <c r="A12" s="194" t="n"/>
      <c r="B12" s="195" t="n"/>
      <c r="C12" s="194" t="n"/>
      <c r="D12" s="194" t="n"/>
    </row>
    <row r="13">
      <c r="A13" s="186" t="inlineStr">
        <is>
          <t>Составил ______________________      А.Р. Маркова</t>
        </is>
      </c>
      <c r="B13" s="196" t="n"/>
      <c r="C13" s="196" t="n"/>
      <c r="D13" s="194" t="n"/>
    </row>
    <row r="14">
      <c r="A14" s="197" t="inlineStr">
        <is>
          <t xml:space="preserve">                         (подпись, инициалы, фамилия)</t>
        </is>
      </c>
      <c r="B14" s="196" t="n"/>
      <c r="C14" s="196" t="n"/>
      <c r="D14" s="194" t="n"/>
    </row>
    <row r="15">
      <c r="A15" s="186" t="n"/>
      <c r="B15" s="196" t="n"/>
      <c r="C15" s="196" t="n"/>
      <c r="D15" s="194" t="n"/>
    </row>
    <row r="16">
      <c r="A16" s="186" t="inlineStr">
        <is>
          <t>Проверил ______________________        А.В. Костянецкая</t>
        </is>
      </c>
      <c r="B16" s="196" t="n"/>
      <c r="C16" s="196" t="n"/>
      <c r="D16" s="194" t="n"/>
    </row>
    <row r="17">
      <c r="A17" s="197" t="inlineStr">
        <is>
          <t xml:space="preserve">                        (подпись, инициалы, фамилия)</t>
        </is>
      </c>
      <c r="B17" s="196" t="n"/>
      <c r="C17" s="196" t="n"/>
      <c r="D17" s="19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18" zoomScale="60" zoomScaleNormal="85" workbookViewId="0">
      <selection activeCell="A1" sqref="A1"/>
    </sheetView>
  </sheetViews>
  <sheetFormatPr baseColWidth="8" defaultColWidth="9.109375" defaultRowHeight="14.4"/>
  <cols>
    <col width="40.6640625" customWidth="1" style="212" min="2" max="2"/>
    <col width="37" customWidth="1" style="212" min="3" max="3"/>
    <col width="32" customWidth="1" style="212" min="4" max="4"/>
  </cols>
  <sheetData>
    <row r="4" ht="15.75" customHeight="1" s="212">
      <c r="B4" s="241" t="inlineStr">
        <is>
          <t>Приложение № 10</t>
        </is>
      </c>
    </row>
    <row r="5" ht="18.75" customHeight="1" s="212">
      <c r="B5" s="115" t="n"/>
    </row>
    <row r="6" ht="15.75" customHeight="1" s="212">
      <c r="B6" s="242" t="inlineStr">
        <is>
          <t>Используемые индексы изменений сметной стоимости и нормы сопутствующих затрат</t>
        </is>
      </c>
    </row>
    <row r="7">
      <c r="B7" s="280" t="n"/>
    </row>
    <row r="8">
      <c r="B8" s="280" t="n"/>
      <c r="C8" s="280" t="n"/>
      <c r="D8" s="280" t="n"/>
      <c r="E8" s="280" t="n"/>
    </row>
    <row r="9" ht="47.25" customHeight="1" s="212">
      <c r="B9" s="246" t="inlineStr">
        <is>
          <t>Наименование индекса / норм сопутствующих затрат</t>
        </is>
      </c>
      <c r="C9" s="246" t="inlineStr">
        <is>
          <t>Дата применения и обоснование индекса / норм сопутствующих затрат</t>
        </is>
      </c>
      <c r="D9" s="246" t="inlineStr">
        <is>
          <t>Размер индекса / норма сопутствующих затрат</t>
        </is>
      </c>
    </row>
    <row r="10" ht="15.75" customHeight="1" s="212">
      <c r="B10" s="246" t="n">
        <v>1</v>
      </c>
      <c r="C10" s="246" t="n">
        <v>2</v>
      </c>
      <c r="D10" s="246" t="n">
        <v>3</v>
      </c>
    </row>
    <row r="11" ht="45" customHeight="1" s="212">
      <c r="B11" s="246" t="inlineStr">
        <is>
          <t xml:space="preserve">Индекс изменения сметной стоимости на 1 квартал 2023 года. ОЗП </t>
        </is>
      </c>
      <c r="C11" s="246" t="inlineStr">
        <is>
          <t>Письмо Минстроя России от 30.03.2023г. №17106-ИФ/09  прил.1</t>
        </is>
      </c>
      <c r="D11" s="246" t="n">
        <v>44.29</v>
      </c>
    </row>
    <row r="12" ht="29.25" customHeight="1" s="212">
      <c r="B12" s="246" t="inlineStr">
        <is>
          <t>Индекс изменения сметной стоимости на 1 квартал 2023 года. ЭМ</t>
        </is>
      </c>
      <c r="C12" s="246" t="inlineStr">
        <is>
          <t>Письмо Минстроя России от 30.03.2023г. №17106-ИФ/09  прил.1</t>
        </is>
      </c>
      <c r="D12" s="246" t="n">
        <v>10.77</v>
      </c>
    </row>
    <row r="13" ht="29.25" customHeight="1" s="212">
      <c r="B13" s="246" t="inlineStr">
        <is>
          <t>Индекс изменения сметной стоимости на 1 квартал 2023 года. МАТ</t>
        </is>
      </c>
      <c r="C13" s="246" t="inlineStr">
        <is>
          <t>Письмо Минстроя России от 30.03.2023г. №17106-ИФ/09  прил.1</t>
        </is>
      </c>
      <c r="D13" s="246" t="n">
        <v>4.39</v>
      </c>
    </row>
    <row r="14" ht="30.75" customHeight="1" s="212">
      <c r="B14" s="246" t="inlineStr">
        <is>
          <t>Индекс изменения сметной стоимости на 1 квартал 2023 года. ОБ</t>
        </is>
      </c>
      <c r="C14" s="111" t="inlineStr">
        <is>
          <t>Письмо Минстроя России от 23.02.2023г. №9791-ИФ/09 прил.6</t>
        </is>
      </c>
      <c r="D14" s="246" t="n">
        <v>6.26</v>
      </c>
    </row>
    <row r="15" ht="89.40000000000001" customHeight="1" s="212">
      <c r="B15" s="246" t="inlineStr">
        <is>
          <t>Временные здания и сооружения</t>
        </is>
      </c>
      <c r="C15" s="246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17" t="n">
        <v>0.039</v>
      </c>
    </row>
    <row r="16" ht="78.75" customHeight="1" s="212">
      <c r="B16" s="246" t="inlineStr">
        <is>
          <t>Дополнительные затраты при производстве строительно-монтажных работ в зимнее время</t>
        </is>
      </c>
      <c r="C16" s="246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17" t="n">
        <v>0.021</v>
      </c>
    </row>
    <row r="17" ht="31.65" customHeight="1" s="212">
      <c r="B17" s="246" t="inlineStr">
        <is>
          <t>Строительный контроль</t>
        </is>
      </c>
      <c r="C17" s="246" t="inlineStr">
        <is>
          <t>Постановление Правительства РФ от 21.06.10 г. № 468</t>
        </is>
      </c>
      <c r="D17" s="117" t="n">
        <v>0.0214</v>
      </c>
    </row>
    <row r="18" ht="31.65" customHeight="1" s="212">
      <c r="B18" s="246" t="inlineStr">
        <is>
          <t>Авторский надзор - 0,2%</t>
        </is>
      </c>
      <c r="C18" s="246" t="inlineStr">
        <is>
          <t>Приказ от 4.08.2020 № 421/пр п.173</t>
        </is>
      </c>
      <c r="D18" s="117" t="n">
        <v>0.002</v>
      </c>
    </row>
    <row r="19" ht="24" customHeight="1" s="212">
      <c r="B19" s="246" t="inlineStr">
        <is>
          <t>Непредвиденные расходы</t>
        </is>
      </c>
      <c r="C19" s="246" t="inlineStr">
        <is>
          <t>Приказ от 4.08.2020 № 421/пр п.179</t>
        </is>
      </c>
      <c r="D19" s="117" t="n">
        <v>0.03</v>
      </c>
    </row>
    <row r="20" ht="18.75" customHeight="1" s="212">
      <c r="B20" s="116" t="n"/>
    </row>
    <row r="21" ht="18.75" customHeight="1" s="212">
      <c r="B21" s="116" t="n"/>
    </row>
    <row r="22" ht="18.75" customHeight="1" s="212">
      <c r="B22" s="116" t="n"/>
    </row>
    <row r="23" ht="18.75" customHeight="1" s="212">
      <c r="B23" s="116" t="n"/>
    </row>
    <row r="26">
      <c r="B26" s="186" t="inlineStr">
        <is>
          <t>Составил ______________________        Е.А. Князева</t>
        </is>
      </c>
      <c r="C26" s="196" t="n"/>
    </row>
    <row r="27">
      <c r="B27" s="197" t="inlineStr">
        <is>
          <t xml:space="preserve">                         (подпись, инициалы, фамилия)</t>
        </is>
      </c>
      <c r="C27" s="196" t="n"/>
    </row>
    <row r="28">
      <c r="B28" s="186" t="n"/>
      <c r="C28" s="196" t="n"/>
    </row>
    <row r="29">
      <c r="B29" s="186" t="inlineStr">
        <is>
          <t>Проверил ______________________        А.В. Костянецкая</t>
        </is>
      </c>
      <c r="C29" s="196" t="n"/>
    </row>
    <row r="30">
      <c r="B30" s="197" t="inlineStr">
        <is>
          <t xml:space="preserve">                        (подпись, инициалы, фамилия)</t>
        </is>
      </c>
      <c r="C30" s="196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A1" sqref="A1"/>
    </sheetView>
  </sheetViews>
  <sheetFormatPr baseColWidth="8" defaultColWidth="9.109375" defaultRowHeight="14.4"/>
  <cols>
    <col width="44.88671875" customWidth="1" style="212" min="2" max="2"/>
    <col width="13" customWidth="1" style="212" min="3" max="3"/>
    <col width="22.88671875" customWidth="1" style="212" min="4" max="4"/>
    <col width="21.5546875" customWidth="1" style="212" min="5" max="5"/>
    <col width="43.88671875" customWidth="1" style="212" min="6" max="6"/>
  </cols>
  <sheetData>
    <row r="1" s="212"/>
    <row r="2" ht="17.25" customHeight="1" s="212">
      <c r="A2" s="242" t="inlineStr">
        <is>
          <t>Расчет размера средств на оплату труда рабочих-строителей в текущем уровне цен (ФОТр.тек.)</t>
        </is>
      </c>
    </row>
    <row r="3" s="212"/>
    <row r="4" ht="18" customHeight="1" s="212">
      <c r="A4" s="213" t="inlineStr">
        <is>
          <t>Составлен в уровне цен на 01.01.2023 г.</t>
        </is>
      </c>
      <c r="B4" s="214" t="n"/>
      <c r="C4" s="214" t="n"/>
      <c r="D4" s="214" t="n"/>
      <c r="E4" s="214" t="n"/>
      <c r="F4" s="214" t="n"/>
      <c r="G4" s="214" t="n"/>
    </row>
    <row r="5" ht="15.75" customHeight="1" s="212">
      <c r="A5" s="215" t="inlineStr">
        <is>
          <t>№ пп.</t>
        </is>
      </c>
      <c r="B5" s="215" t="inlineStr">
        <is>
          <t>Наименование элемента</t>
        </is>
      </c>
      <c r="C5" s="215" t="inlineStr">
        <is>
          <t>Обозначение</t>
        </is>
      </c>
      <c r="D5" s="215" t="inlineStr">
        <is>
          <t>Формула</t>
        </is>
      </c>
      <c r="E5" s="215" t="inlineStr">
        <is>
          <t>Величина элемента</t>
        </is>
      </c>
      <c r="F5" s="215" t="inlineStr">
        <is>
          <t>Наименования обосновывающих документов</t>
        </is>
      </c>
      <c r="G5" s="214" t="n"/>
    </row>
    <row r="6" ht="15.75" customHeight="1" s="212">
      <c r="A6" s="215" t="n">
        <v>1</v>
      </c>
      <c r="B6" s="215" t="n">
        <v>2</v>
      </c>
      <c r="C6" s="215" t="n">
        <v>3</v>
      </c>
      <c r="D6" s="215" t="n">
        <v>4</v>
      </c>
      <c r="E6" s="215" t="n">
        <v>5</v>
      </c>
      <c r="F6" s="215" t="n">
        <v>6</v>
      </c>
      <c r="G6" s="214" t="n"/>
    </row>
    <row r="7" ht="110.25" customHeight="1" s="212">
      <c r="A7" s="216" t="inlineStr">
        <is>
          <t>1.1</t>
        </is>
      </c>
      <c r="B7" s="22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46" t="inlineStr">
        <is>
          <t>С1ср</t>
        </is>
      </c>
      <c r="D7" s="246" t="inlineStr">
        <is>
          <t>-</t>
        </is>
      </c>
      <c r="E7" s="219" t="n">
        <v>47872.94</v>
      </c>
      <c r="F7" s="22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14" t="n"/>
    </row>
    <row r="8" ht="31.5" customHeight="1" s="212">
      <c r="A8" s="216" t="inlineStr">
        <is>
          <t>1.2</t>
        </is>
      </c>
      <c r="B8" s="221" t="inlineStr">
        <is>
          <t>Среднегодовое нормативное число часов работы одного рабочего в месяц, часы (ч.)</t>
        </is>
      </c>
      <c r="C8" s="246" t="inlineStr">
        <is>
          <t>tср</t>
        </is>
      </c>
      <c r="D8" s="246" t="inlineStr">
        <is>
          <t>1973ч/12мес.</t>
        </is>
      </c>
      <c r="E8" s="220">
        <f>1973/12</f>
        <v/>
      </c>
      <c r="F8" s="221" t="inlineStr">
        <is>
          <t>Производственный календарь 2023 год
(40-часов.неделя)</t>
        </is>
      </c>
      <c r="G8" s="223" t="n"/>
    </row>
    <row r="9" ht="15.75" customHeight="1" s="212">
      <c r="A9" s="216" t="inlineStr">
        <is>
          <t>1.3</t>
        </is>
      </c>
      <c r="B9" s="221" t="inlineStr">
        <is>
          <t>Коэффициент увеличения</t>
        </is>
      </c>
      <c r="C9" s="246" t="inlineStr">
        <is>
          <t>Кув</t>
        </is>
      </c>
      <c r="D9" s="246" t="inlineStr">
        <is>
          <t>-</t>
        </is>
      </c>
      <c r="E9" s="220" t="n">
        <v>1</v>
      </c>
      <c r="F9" s="221" t="n"/>
      <c r="G9" s="223" t="n"/>
    </row>
    <row r="10" ht="15.75" customHeight="1" s="212">
      <c r="A10" s="216" t="inlineStr">
        <is>
          <t>1.4</t>
        </is>
      </c>
      <c r="B10" s="221" t="inlineStr">
        <is>
          <t>Средний разряд работ</t>
        </is>
      </c>
      <c r="C10" s="246" t="n"/>
      <c r="D10" s="246" t="n"/>
      <c r="E10" s="339" t="n">
        <v>4</v>
      </c>
      <c r="F10" s="221" t="inlineStr">
        <is>
          <t>РТМ</t>
        </is>
      </c>
      <c r="G10" s="223" t="n"/>
    </row>
    <row r="11" ht="78.75" customHeight="1" s="212">
      <c r="A11" s="216" t="inlineStr">
        <is>
          <t>1.5</t>
        </is>
      </c>
      <c r="B11" s="221" t="inlineStr">
        <is>
          <t>Тарифный коэффициент среднего разряда работ</t>
        </is>
      </c>
      <c r="C11" s="246" t="inlineStr">
        <is>
          <t>КТ</t>
        </is>
      </c>
      <c r="D11" s="246" t="inlineStr">
        <is>
          <t>-</t>
        </is>
      </c>
      <c r="E11" s="340" t="n">
        <v>1.34</v>
      </c>
      <c r="F11" s="22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14" t="n"/>
    </row>
    <row r="12" ht="78.75" customHeight="1" s="212">
      <c r="A12" s="216" t="inlineStr">
        <is>
          <t>1.6</t>
        </is>
      </c>
      <c r="B12" s="226" t="inlineStr">
        <is>
          <t>Коэффициент инфляции, определяемый поквартально</t>
        </is>
      </c>
      <c r="C12" s="246" t="inlineStr">
        <is>
          <t>Кинф</t>
        </is>
      </c>
      <c r="D12" s="246" t="inlineStr">
        <is>
          <t>-</t>
        </is>
      </c>
      <c r="E12" s="341" t="n">
        <v>1.139</v>
      </c>
      <c r="F12" s="22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2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12">
      <c r="A13" s="229" t="inlineStr">
        <is>
          <t>1.7</t>
        </is>
      </c>
      <c r="B13" s="230" t="inlineStr">
        <is>
          <t>Размер средств на оплату труда рабочих-строителей в текущем уровне цен (ФОТр.тек.), руб/чел.-ч</t>
        </is>
      </c>
      <c r="C13" s="231" t="inlineStr">
        <is>
          <t>ФОТр.тек.</t>
        </is>
      </c>
      <c r="D13" s="231" t="inlineStr">
        <is>
          <t>(С1ср/tср*КТ*Т*Кув)*Кинф</t>
        </is>
      </c>
      <c r="E13" s="232">
        <f>((E7*E9/E8)*E11)*E12</f>
        <v/>
      </c>
      <c r="F13" s="233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14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2025-01-24T12:04:15Z</dcterms:modified>
  <cp:lastModifiedBy>user1</cp:lastModifiedBy>
</cp:coreProperties>
</file>