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zoomScale="60" zoomScaleNormal="70" workbookViewId="0">
      <selection activeCell="H26" sqref="H26"/>
    </sheetView>
  </sheetViews>
  <sheetFormatPr baseColWidth="8" defaultColWidth="9.109375" defaultRowHeight="14.4"/>
  <cols>
    <col width="9.109375" customWidth="1" style="319" min="1" max="2"/>
    <col width="36.88671875" customWidth="1" style="319" min="3" max="3"/>
    <col width="39.44140625" customWidth="1" style="319" min="4" max="4"/>
    <col width="9.109375" customWidth="1" style="319" min="5" max="5"/>
  </cols>
  <sheetData>
    <row r="3" ht="15.75" customHeight="1" s="319">
      <c r="B3" s="349" t="inlineStr">
        <is>
          <t>Приложение № 1</t>
        </is>
      </c>
    </row>
    <row r="4" ht="18.75" customHeight="1" s="319">
      <c r="B4" s="350" t="inlineStr">
        <is>
          <t>Сравнительная таблица отбора объекта-представителя</t>
        </is>
      </c>
    </row>
    <row r="5" ht="96" customHeight="1" s="319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68" t="n"/>
      <c r="C6" s="268" t="n"/>
      <c r="D6" s="268" t="n"/>
    </row>
    <row r="7" ht="36" customHeight="1" s="319">
      <c r="B7" s="348" t="inlineStr">
        <is>
          <t>Наименование разрабатываемого показателя УНЦ -  Муфта соединительная 110 кВ сечением 1000 мм2</t>
        </is>
      </c>
    </row>
    <row r="8" ht="15.75" customHeight="1" s="319">
      <c r="B8" s="348" t="inlineStr">
        <is>
          <t>Сопоставимый уровень цен: 4 квартал 2016 года</t>
        </is>
      </c>
    </row>
    <row r="9" ht="15.75" customHeight="1" s="319">
      <c r="B9" s="348" t="inlineStr">
        <is>
          <t>Единица измерения  — 1 ед</t>
        </is>
      </c>
    </row>
    <row r="10" ht="18.75" customHeight="1" s="319">
      <c r="B10" s="269" t="n"/>
    </row>
    <row r="11" ht="15.75" customHeight="1" s="319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</row>
    <row r="12" ht="78.75" customHeight="1" s="319">
      <c r="B12" s="354" t="n">
        <v>1</v>
      </c>
      <c r="C12" s="360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73" t="n"/>
      <c r="F12" s="273" t="n"/>
      <c r="G12" s="273" t="n"/>
      <c r="H12" s="273" t="n"/>
      <c r="I12" s="273" t="n"/>
      <c r="J12" s="273" t="n"/>
      <c r="K12" s="273" t="n"/>
      <c r="L12" s="273" t="n"/>
    </row>
    <row r="13" ht="31.5" customHeight="1" s="319">
      <c r="B13" s="354" t="n">
        <v>2</v>
      </c>
      <c r="C13" s="360" t="inlineStr">
        <is>
          <t>Наименование субъекта Российской Федерации</t>
        </is>
      </c>
      <c r="D13" s="354" t="inlineStr">
        <is>
          <t>Ленинградская область</t>
        </is>
      </c>
    </row>
    <row r="14" ht="15.75" customHeight="1" s="319">
      <c r="B14" s="354" t="n">
        <v>3</v>
      </c>
      <c r="C14" s="360" t="inlineStr">
        <is>
          <t>Климатический район и подрайон</t>
        </is>
      </c>
      <c r="D14" s="354" t="inlineStr">
        <is>
          <t>IIВ</t>
        </is>
      </c>
    </row>
    <row r="15" ht="15.75" customHeight="1" s="319">
      <c r="B15" s="354" t="n">
        <v>4</v>
      </c>
      <c r="C15" s="360" t="inlineStr">
        <is>
          <t>Мощность объекта</t>
        </is>
      </c>
      <c r="D15" s="354" t="n">
        <v>1</v>
      </c>
    </row>
    <row r="16" ht="94.5" customHeight="1" s="319">
      <c r="B16" s="354" t="n">
        <v>5</v>
      </c>
      <c r="C16" s="27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соединительная 110 кВ сечением 1000 мм2</t>
        </is>
      </c>
    </row>
    <row r="17" ht="78.75" customHeight="1" s="319">
      <c r="B17" s="354" t="n">
        <v>6</v>
      </c>
      <c r="C17" s="27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</row>
    <row r="18" ht="15.75" customHeight="1" s="319">
      <c r="B18" s="276" t="inlineStr">
        <is>
          <t>6.1</t>
        </is>
      </c>
      <c r="C18" s="360" t="inlineStr">
        <is>
          <t>строительно-монтажные работы</t>
        </is>
      </c>
      <c r="D18" s="318" t="n">
        <v>3654.49</v>
      </c>
    </row>
    <row r="19" ht="15.75" customHeight="1" s="319">
      <c r="B19" s="276" t="inlineStr">
        <is>
          <t>6.2</t>
        </is>
      </c>
      <c r="C19" s="360" t="inlineStr">
        <is>
          <t>оборудование и инвентарь</t>
        </is>
      </c>
      <c r="D19" s="318" t="n">
        <v>0</v>
      </c>
    </row>
    <row r="20" ht="15.75" customHeight="1" s="319">
      <c r="B20" s="276" t="inlineStr">
        <is>
          <t>6.3</t>
        </is>
      </c>
      <c r="C20" s="360" t="inlineStr">
        <is>
          <t>пусконаладочные работы</t>
        </is>
      </c>
      <c r="D20" s="318" t="n">
        <v>0</v>
      </c>
    </row>
    <row r="21" ht="31.5" customHeight="1" s="319">
      <c r="B21" s="276" t="inlineStr">
        <is>
          <t>6.4</t>
        </is>
      </c>
      <c r="C21" s="360" t="inlineStr">
        <is>
          <t>прочие и лимитированные затраты</t>
        </is>
      </c>
      <c r="D21" s="318" t="n">
        <v>574.53458997</v>
      </c>
    </row>
    <row r="22" ht="15.75" customHeight="1" s="319">
      <c r="B22" s="354" t="n">
        <v>7</v>
      </c>
      <c r="C22" s="360" t="inlineStr">
        <is>
          <t>Сопоставимый уровень цен</t>
        </is>
      </c>
      <c r="D22" s="316" t="inlineStr">
        <is>
          <t>4 квартал 2016 года</t>
        </is>
      </c>
    </row>
    <row r="23" ht="110.25" customHeight="1" s="319">
      <c r="B23" s="354" t="n">
        <v>8</v>
      </c>
      <c r="C23" s="27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</row>
    <row r="24" ht="47.25" customHeight="1" s="319">
      <c r="B24" s="354" t="n">
        <v>9</v>
      </c>
      <c r="C24" s="275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</row>
    <row r="25" ht="15.75" customHeight="1" s="319">
      <c r="B25" s="277" t="n"/>
      <c r="C25" s="278" t="n"/>
      <c r="D25" s="317" t="n"/>
    </row>
    <row r="26">
      <c r="B26" s="288" t="inlineStr">
        <is>
          <t>Составил ______________________        Е.А. Князева</t>
        </is>
      </c>
      <c r="C26" s="294" t="n"/>
    </row>
    <row r="27">
      <c r="B27" s="295" t="inlineStr">
        <is>
          <t xml:space="preserve">                         (подпись, инициалы, фамилия)</t>
        </is>
      </c>
      <c r="C27" s="294" t="n"/>
    </row>
    <row r="28">
      <c r="B28" s="288" t="n"/>
      <c r="C28" s="294" t="n"/>
    </row>
    <row r="29">
      <c r="B29" s="288" t="inlineStr">
        <is>
          <t>Проверил ______________________        А.В. Костянецкая</t>
        </is>
      </c>
      <c r="C29" s="294" t="n"/>
    </row>
    <row r="30">
      <c r="B30" s="295" t="inlineStr">
        <is>
          <t xml:space="preserve">                        (подпись, инициалы, фамилия)</t>
        </is>
      </c>
      <c r="C30" s="294" t="n"/>
    </row>
    <row r="31" ht="15.75" customHeight="1" s="319">
      <c r="B31" s="278" t="n"/>
      <c r="C31" s="278" t="n"/>
      <c r="D31" s="27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49" t="inlineStr">
        <is>
          <t>Приложение № 2</t>
        </is>
      </c>
      <c r="K3" s="277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355" t="n"/>
      <c r="C5" s="355" t="n"/>
      <c r="D5" s="355" t="n"/>
      <c r="E5" s="355" t="n"/>
      <c r="F5" s="355" t="n"/>
      <c r="G5" s="355" t="n"/>
      <c r="H5" s="355" t="n"/>
      <c r="I5" s="355" t="n"/>
      <c r="J5" s="355" t="n"/>
      <c r="K5" s="355" t="n"/>
    </row>
    <row r="6">
      <c r="B6" s="348" t="inlineStr">
        <is>
          <t>Наименование разрабатываемого показателя УНЦ -  Муфта соединительная 110 кВ сечением 1000 мм2</t>
        </is>
      </c>
    </row>
    <row r="7">
      <c r="B7" s="348" t="inlineStr">
        <is>
          <t>Единица измерения  — 1 ед</t>
        </is>
      </c>
    </row>
    <row r="8" ht="18.75" customHeight="1" s="319">
      <c r="B8" s="269" t="n"/>
    </row>
    <row r="9" ht="15.75" customHeight="1" s="319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19">
      <c r="B10" s="436" t="n"/>
      <c r="C10" s="436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2016г., тыс. руб.</t>
        </is>
      </c>
      <c r="G10" s="434" t="n"/>
      <c r="H10" s="434" t="n"/>
      <c r="I10" s="434" t="n"/>
      <c r="J10" s="435" t="n"/>
    </row>
    <row r="11" ht="31.65" customHeight="1" s="319">
      <c r="B11" s="437" t="n"/>
      <c r="C11" s="437" t="n"/>
      <c r="D11" s="437" t="n"/>
      <c r="E11" s="437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47.25" customHeight="1" s="319">
      <c r="B12" s="322" t="n">
        <v>1</v>
      </c>
      <c r="C12" s="338" t="inlineStr">
        <is>
          <t>Муфта соединительная 110 кВ сечением 1000 мм2</t>
        </is>
      </c>
      <c r="D12" s="309" t="inlineStr">
        <is>
          <t>02-04-01</t>
        </is>
      </c>
      <c r="E12" s="360" t="inlineStr">
        <is>
          <t>Строительно-монтажные работы КЛ-110кВ Шушары</t>
        </is>
      </c>
      <c r="F12" s="310" t="n"/>
      <c r="G12" s="310">
        <f>3654491.119/1000</f>
        <v/>
      </c>
      <c r="H12" s="310" t="n"/>
      <c r="I12" s="310" t="n"/>
      <c r="J12" s="311">
        <f>SUM(F12:I12)</f>
        <v/>
      </c>
    </row>
    <row r="13" ht="15" customHeight="1" s="319">
      <c r="B13" s="352" t="inlineStr">
        <is>
          <t>Всего по объекту:</t>
        </is>
      </c>
      <c r="C13" s="434" t="n"/>
      <c r="D13" s="434" t="n"/>
      <c r="E13" s="435" t="n"/>
      <c r="F13" s="313" t="n"/>
      <c r="G13" s="313">
        <f>SUM(G12)</f>
        <v/>
      </c>
      <c r="H13" s="313" t="n"/>
      <c r="I13" s="313" t="n"/>
      <c r="J13" s="313">
        <f>SUM(J12)</f>
        <v/>
      </c>
    </row>
    <row r="14" ht="15.75" customHeight="1" s="319">
      <c r="B14" s="352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13" t="n"/>
      <c r="G14" s="313">
        <f>G13</f>
        <v/>
      </c>
      <c r="H14" s="313" t="n"/>
      <c r="I14" s="313" t="n"/>
      <c r="J14" s="313">
        <f>J13</f>
        <v/>
      </c>
    </row>
    <row r="15" ht="15" customHeight="1" s="319"/>
    <row r="16" ht="15" customHeight="1" s="319"/>
    <row r="17" ht="15" customHeight="1" s="319"/>
    <row r="18" ht="15" customHeight="1" s="319">
      <c r="C18" s="288" t="inlineStr">
        <is>
          <t>Составил ______________________     А.Р. Маркова</t>
        </is>
      </c>
      <c r="D18" s="294" t="n"/>
      <c r="E18" s="294" t="n"/>
    </row>
    <row r="19" ht="15" customHeight="1" s="319">
      <c r="C19" s="295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9">
      <c r="C20" s="288" t="n"/>
      <c r="D20" s="294" t="n"/>
      <c r="E20" s="294" t="n"/>
    </row>
    <row r="21" ht="15" customHeight="1" s="319">
      <c r="C21" s="288" t="inlineStr">
        <is>
          <t>Проверил ______________________        А.В. Костянецкая</t>
        </is>
      </c>
      <c r="D21" s="294" t="n"/>
      <c r="E21" s="294" t="n"/>
    </row>
    <row r="22" ht="15" customHeight="1" s="319">
      <c r="C22" s="295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9" zoomScale="85" workbookViewId="0">
      <selection activeCell="C41" sqref="C41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49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19">
      <c r="A4" s="350" t="n"/>
      <c r="B4" s="350" t="n"/>
      <c r="C4" s="356" t="n"/>
    </row>
    <row r="5">
      <c r="A5" s="348" t="n"/>
    </row>
    <row r="6">
      <c r="A6" s="355" t="inlineStr">
        <is>
          <t>Наименование разрабатываемого показателя УНЦ -  Муфта соединительная 110 кВ сечением 1000 мм2</t>
        </is>
      </c>
    </row>
    <row r="7">
      <c r="A7" s="222" t="n"/>
      <c r="B7" s="222" t="n"/>
      <c r="C7" s="222" t="n"/>
      <c r="D7" s="222" t="n"/>
      <c r="E7" s="222" t="n"/>
      <c r="F7" s="222" t="n"/>
      <c r="G7" s="222" t="n"/>
      <c r="H7" s="222" t="n"/>
    </row>
    <row r="8" ht="38.25" customHeight="1" s="319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5" t="n"/>
    </row>
    <row r="9" ht="40.65" customHeight="1" s="319">
      <c r="A9" s="437" t="n"/>
      <c r="B9" s="437" t="n"/>
      <c r="C9" s="437" t="n"/>
      <c r="D9" s="437" t="n"/>
      <c r="E9" s="437" t="n"/>
      <c r="F9" s="437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23">
      <c r="A11" s="358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43" t="n"/>
      <c r="H11" s="439">
        <f>SUM(H12:H12)</f>
        <v/>
      </c>
    </row>
    <row r="12">
      <c r="A12" s="370" t="n">
        <v>1</v>
      </c>
      <c r="B12" s="301" t="n"/>
      <c r="C12" s="249" t="inlineStr">
        <is>
          <t>1-4-0</t>
        </is>
      </c>
      <c r="D12" s="369" t="inlineStr">
        <is>
          <t>Затраты труда рабочих (средний разряд работы 4)</t>
        </is>
      </c>
      <c r="E12" s="370" t="inlineStr">
        <is>
          <t>чел.-ч</t>
        </is>
      </c>
      <c r="F12" s="370" t="n">
        <v>518.4</v>
      </c>
      <c r="G12" s="440" t="n">
        <v>9.619999999999999</v>
      </c>
      <c r="H12" s="195">
        <f>ROUND(F12*G12,2)</f>
        <v/>
      </c>
      <c r="M12" s="441" t="n"/>
    </row>
    <row r="13">
      <c r="A13" s="357" t="inlineStr">
        <is>
          <t>Затраты труда машинистов</t>
        </is>
      </c>
      <c r="B13" s="434" t="n"/>
      <c r="C13" s="434" t="n"/>
      <c r="D13" s="434" t="n"/>
      <c r="E13" s="435" t="n"/>
      <c r="F13" s="358" t="n"/>
      <c r="G13" s="304" t="n"/>
      <c r="H13" s="439">
        <f>H14</f>
        <v/>
      </c>
    </row>
    <row r="14">
      <c r="A14" s="370" t="n">
        <v>2</v>
      </c>
      <c r="B14" s="359" t="n"/>
      <c r="C14" s="249" t="n">
        <v>2</v>
      </c>
      <c r="D14" s="369" t="inlineStr">
        <is>
          <t>Затраты труда машинистов</t>
        </is>
      </c>
      <c r="E14" s="370" t="inlineStr">
        <is>
          <t>чел.-ч</t>
        </is>
      </c>
      <c r="F14" s="370" t="n">
        <v>9.300000000000001</v>
      </c>
      <c r="G14" s="201" t="n"/>
      <c r="H14" s="306">
        <f>123.45</f>
        <v/>
      </c>
    </row>
    <row r="15" customFormat="1" s="223">
      <c r="A15" s="358" t="inlineStr">
        <is>
          <t>Машины и механизмы</t>
        </is>
      </c>
      <c r="B15" s="434" t="n"/>
      <c r="C15" s="434" t="n"/>
      <c r="D15" s="434" t="n"/>
      <c r="E15" s="435" t="n"/>
      <c r="F15" s="358" t="n"/>
      <c r="G15" s="304" t="n"/>
      <c r="H15" s="439">
        <f>SUM(H16:H20)</f>
        <v/>
      </c>
    </row>
    <row r="16" ht="25.5" customHeight="1" s="319">
      <c r="A16" s="370" t="n">
        <v>3</v>
      </c>
      <c r="B16" s="359" t="n"/>
      <c r="C16" s="249" t="inlineStr">
        <is>
          <t>91.05.05-015</t>
        </is>
      </c>
      <c r="D16" s="369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8.19</v>
      </c>
      <c r="G16" s="372" t="n">
        <v>115.4</v>
      </c>
      <c r="H16" s="195">
        <f>ROUND(F16*G16,2)</f>
        <v/>
      </c>
      <c r="I16" s="261" t="n"/>
      <c r="J16" s="261" t="n"/>
      <c r="L16" s="261" t="n"/>
    </row>
    <row r="17" customFormat="1" s="223">
      <c r="A17" s="370" t="n">
        <v>4</v>
      </c>
      <c r="B17" s="359" t="n"/>
      <c r="C17" s="249" t="inlineStr">
        <is>
          <t>91.19.12-021</t>
        </is>
      </c>
      <c r="D17" s="369" t="inlineStr">
        <is>
          <t>Насосы вакуумные 3,6 м3/мин</t>
        </is>
      </c>
      <c r="E17" s="370" t="inlineStr">
        <is>
          <t>маш.час</t>
        </is>
      </c>
      <c r="F17" s="370" t="n">
        <v>38.88</v>
      </c>
      <c r="G17" s="372" t="n">
        <v>6.28</v>
      </c>
      <c r="H17" s="195">
        <f>ROUND(F17*G17,2)</f>
        <v/>
      </c>
      <c r="I17" s="261" t="n"/>
      <c r="J17" s="261" t="n"/>
      <c r="K17" s="262" t="n"/>
      <c r="L17" s="261" t="n"/>
    </row>
    <row r="18">
      <c r="A18" s="370" t="n">
        <v>5</v>
      </c>
      <c r="B18" s="359" t="n"/>
      <c r="C18" s="249" t="inlineStr">
        <is>
          <t>91.03.02-011</t>
        </is>
      </c>
      <c r="D18" s="369" t="inlineStr">
        <is>
          <t>Вентиляторы во взрывобезопасном исполнении</t>
        </is>
      </c>
      <c r="E18" s="370" t="inlineStr">
        <is>
          <t>маш.час</t>
        </is>
      </c>
      <c r="F18" s="370" t="n">
        <v>44.16</v>
      </c>
      <c r="G18" s="372" t="n">
        <v>4.14</v>
      </c>
      <c r="H18" s="195">
        <f>ROUND(F18*G18,2)</f>
        <v/>
      </c>
      <c r="I18" s="261" t="n"/>
      <c r="J18" s="261" t="n"/>
      <c r="L18" s="261" t="n"/>
    </row>
    <row r="19">
      <c r="A19" s="370" t="n">
        <v>6</v>
      </c>
      <c r="B19" s="359" t="n"/>
      <c r="C19" s="249" t="inlineStr">
        <is>
          <t>91.14.02-001</t>
        </is>
      </c>
      <c r="D19" s="369" t="inlineStr">
        <is>
          <t>Автомобили бортовые, грузоподъемность до 5 т</t>
        </is>
      </c>
      <c r="E19" s="370" t="inlineStr">
        <is>
          <t>маш.час</t>
        </is>
      </c>
      <c r="F19" s="370" t="n">
        <v>1.11</v>
      </c>
      <c r="G19" s="372" t="n">
        <v>65.70999999999999</v>
      </c>
      <c r="H19" s="195">
        <f>ROUND(F19*G19,2)</f>
        <v/>
      </c>
      <c r="I19" s="261" t="n"/>
      <c r="J19" s="261" t="n"/>
      <c r="L19" s="261" t="n"/>
    </row>
    <row r="20" ht="25.5" customHeight="1" s="319">
      <c r="A20" s="370" t="n">
        <v>7</v>
      </c>
      <c r="B20" s="359" t="n"/>
      <c r="C20" s="249" t="inlineStr">
        <is>
          <t>91.17.04-233</t>
        </is>
      </c>
      <c r="D20" s="369" t="inlineStr">
        <is>
          <t>Установки для сварки ручной дуговой (постоянного тока)</t>
        </is>
      </c>
      <c r="E20" s="370" t="inlineStr">
        <is>
          <t>маш.час</t>
        </is>
      </c>
      <c r="F20" s="370" t="n">
        <v>2.55</v>
      </c>
      <c r="G20" s="372" t="n">
        <v>8.1</v>
      </c>
      <c r="H20" s="195">
        <f>ROUND(F20*G20,2)</f>
        <v/>
      </c>
      <c r="I20" s="261" t="n"/>
      <c r="J20" s="261" t="n"/>
      <c r="L20" s="261" t="n"/>
    </row>
    <row r="21">
      <c r="A21" s="358" t="inlineStr">
        <is>
          <t>Материалы</t>
        </is>
      </c>
      <c r="B21" s="434" t="n"/>
      <c r="C21" s="434" t="n"/>
      <c r="D21" s="434" t="n"/>
      <c r="E21" s="435" t="n"/>
      <c r="F21" s="358" t="n"/>
      <c r="G21" s="304" t="n"/>
      <c r="H21" s="439">
        <f>SUM(H22:H39)</f>
        <v/>
      </c>
    </row>
    <row r="22">
      <c r="A22" s="322" t="n">
        <v>8</v>
      </c>
      <c r="B22" s="322" t="n"/>
      <c r="C22" s="370" t="inlineStr">
        <is>
          <t>Прайс из СД ОП</t>
        </is>
      </c>
      <c r="D22" s="227" t="inlineStr">
        <is>
          <t>Муфта соединительная 110 кВ сечением 1000 мм2</t>
        </is>
      </c>
      <c r="E22" s="370" t="inlineStr">
        <is>
          <t>шт</t>
        </is>
      </c>
      <c r="F22" s="370" t="n">
        <v>6</v>
      </c>
      <c r="G22" s="227" t="n">
        <v>81594.53</v>
      </c>
      <c r="H22" s="195">
        <f>ROUND(F22*G22,2)</f>
        <v/>
      </c>
    </row>
    <row r="23">
      <c r="A23" s="322" t="n">
        <v>9</v>
      </c>
      <c r="B23" s="359" t="n"/>
      <c r="C23" s="249" t="inlineStr">
        <is>
          <t>01.1.02.01-0003</t>
        </is>
      </c>
      <c r="D23" s="369" t="inlineStr">
        <is>
          <t>Асботекстолит, марка Г</t>
        </is>
      </c>
      <c r="E23" s="370" t="inlineStr">
        <is>
          <t>т</t>
        </is>
      </c>
      <c r="F23" s="370" t="n">
        <v>0.0528</v>
      </c>
      <c r="G23" s="372" t="n">
        <v>161000</v>
      </c>
      <c r="H23" s="195">
        <f>ROUND(F23*G23,2)</f>
        <v/>
      </c>
      <c r="I23" s="241" t="n"/>
      <c r="J23" s="261" t="n"/>
      <c r="K23" s="261" t="n"/>
    </row>
    <row r="24" ht="25.5" customHeight="1" s="319">
      <c r="A24" s="322" t="n">
        <v>10</v>
      </c>
      <c r="B24" s="359" t="n"/>
      <c r="C24" s="249" t="inlineStr">
        <is>
          <t>10.3.02.03-0011</t>
        </is>
      </c>
      <c r="D24" s="369" t="inlineStr">
        <is>
          <t>Припои оловянно-свинцовые бессурьмянистые, марка ПОС30</t>
        </is>
      </c>
      <c r="E24" s="370" t="inlineStr">
        <is>
          <t>т</t>
        </is>
      </c>
      <c r="F24" s="370" t="n">
        <v>0.0354</v>
      </c>
      <c r="G24" s="372" t="n">
        <v>68050</v>
      </c>
      <c r="H24" s="195">
        <f>ROUND(F24*G24,2)</f>
        <v/>
      </c>
      <c r="I24" s="241" t="n"/>
      <c r="J24" s="261" t="n"/>
      <c r="K24" s="261" t="n"/>
    </row>
    <row r="25" ht="25.5" customHeight="1" s="319">
      <c r="A25" s="322" t="n">
        <v>11</v>
      </c>
      <c r="B25" s="359" t="n"/>
      <c r="C25" s="249" t="inlineStr">
        <is>
          <t>01.7.06.05-0041</t>
        </is>
      </c>
      <c r="D25" s="369" t="inlineStr">
        <is>
          <t>Лента изоляционная прорезиненная односторонняя, ширина 20 мм, толщина 0,25-0,35 мм</t>
        </is>
      </c>
      <c r="E25" s="370" t="inlineStr">
        <is>
          <t>кг</t>
        </is>
      </c>
      <c r="F25" s="370" t="n">
        <v>38.7</v>
      </c>
      <c r="G25" s="372" t="n">
        <v>30.4</v>
      </c>
      <c r="H25" s="195">
        <f>ROUND(F25*G25,2)</f>
        <v/>
      </c>
      <c r="I25" s="241" t="n"/>
      <c r="J25" s="261" t="n"/>
      <c r="K25" s="261" t="n"/>
    </row>
    <row r="26">
      <c r="A26" s="322" t="n">
        <v>12</v>
      </c>
      <c r="B26" s="359" t="n"/>
      <c r="C26" s="249" t="inlineStr">
        <is>
          <t>01.7.03.04-0001</t>
        </is>
      </c>
      <c r="D26" s="369" t="inlineStr">
        <is>
          <t>Электроэнергия</t>
        </is>
      </c>
      <c r="E26" s="370" t="inlineStr">
        <is>
          <t>кВт-ч</t>
        </is>
      </c>
      <c r="F26" s="370" t="n">
        <v>2246.4</v>
      </c>
      <c r="G26" s="372" t="n">
        <v>0.4</v>
      </c>
      <c r="H26" s="195">
        <f>ROUND(F26*G26,2)</f>
        <v/>
      </c>
      <c r="I26" s="241" t="n"/>
      <c r="J26" s="261" t="n"/>
      <c r="K26" s="261" t="n"/>
    </row>
    <row r="27">
      <c r="A27" s="322" t="n">
        <v>13</v>
      </c>
      <c r="B27" s="359" t="n"/>
      <c r="C27" s="249" t="inlineStr">
        <is>
          <t>14.2.06.05-0212</t>
        </is>
      </c>
      <c r="D27" s="369" t="inlineStr">
        <is>
          <t>Компаунд эпоксидный</t>
        </is>
      </c>
      <c r="E27" s="370" t="inlineStr">
        <is>
          <t>кг</t>
        </is>
      </c>
      <c r="F27" s="370" t="n">
        <v>7.2</v>
      </c>
      <c r="G27" s="372" t="n">
        <v>68.8</v>
      </c>
      <c r="H27" s="195">
        <f>ROUND(F27*G27,2)</f>
        <v/>
      </c>
      <c r="I27" s="241" t="n"/>
      <c r="J27" s="261" t="n"/>
      <c r="K27" s="261" t="n"/>
    </row>
    <row r="28" ht="25.5" customHeight="1" s="319">
      <c r="A28" s="322" t="n">
        <v>14</v>
      </c>
      <c r="B28" s="359" t="n"/>
      <c r="C28" s="249" t="inlineStr">
        <is>
          <t>01.1.02.02-0022</t>
        </is>
      </c>
      <c r="D28" s="369" t="inlineStr">
        <is>
          <t>Бумага асбестовая электроизоляционная БЭ, толщина 0,2 мм</t>
        </is>
      </c>
      <c r="E28" s="370" t="inlineStr">
        <is>
          <t>т</t>
        </is>
      </c>
      <c r="F28" s="370" t="n">
        <v>0.0393</v>
      </c>
      <c r="G28" s="372" t="n">
        <v>11549</v>
      </c>
      <c r="H28" s="195">
        <f>ROUND(F28*G28,2)</f>
        <v/>
      </c>
      <c r="I28" s="241" t="n"/>
      <c r="J28" s="261" t="n"/>
      <c r="K28" s="261" t="n"/>
    </row>
    <row r="29">
      <c r="A29" s="322" t="n">
        <v>15</v>
      </c>
      <c r="B29" s="359" t="n"/>
      <c r="C29" s="249" t="inlineStr">
        <is>
          <t>20.1.02.06-0001</t>
        </is>
      </c>
      <c r="D29" s="369" t="inlineStr">
        <is>
          <t>Жир паяльный</t>
        </is>
      </c>
      <c r="E29" s="370" t="inlineStr">
        <is>
          <t>кг</t>
        </is>
      </c>
      <c r="F29" s="370" t="n">
        <v>3.51</v>
      </c>
      <c r="G29" s="372" t="n">
        <v>100.8</v>
      </c>
      <c r="H29" s="195">
        <f>ROUND(F29*G29,2)</f>
        <v/>
      </c>
      <c r="I29" s="241" t="n"/>
      <c r="J29" s="261" t="n"/>
      <c r="K29" s="261" t="n"/>
    </row>
    <row r="30" ht="25.5" customHeight="1" s="319">
      <c r="A30" s="322" t="n">
        <v>16</v>
      </c>
      <c r="B30" s="359" t="n"/>
      <c r="C30" s="249" t="inlineStr">
        <is>
          <t>10.2.02.08-0001</t>
        </is>
      </c>
      <c r="D30" s="369" t="inlineStr">
        <is>
          <t>Проволока медная, круглая, мягкая, электротехническая, диаметр 1,0-3,0 мм и выше</t>
        </is>
      </c>
      <c r="E30" s="370" t="inlineStr">
        <is>
          <t>т</t>
        </is>
      </c>
      <c r="F30" s="370" t="n">
        <v>0.0075</v>
      </c>
      <c r="G30" s="372" t="n">
        <v>37517</v>
      </c>
      <c r="H30" s="195">
        <f>ROUND(F30*G30,2)</f>
        <v/>
      </c>
      <c r="I30" s="241" t="n"/>
      <c r="J30" s="261" t="n"/>
      <c r="K30" s="261" t="n"/>
    </row>
    <row r="31">
      <c r="A31" s="322" t="n">
        <v>17</v>
      </c>
      <c r="B31" s="359" t="n"/>
      <c r="C31" s="249" t="inlineStr">
        <is>
          <t>23.2.03.01-0002</t>
        </is>
      </c>
      <c r="D31" s="369" t="inlineStr">
        <is>
          <t>Трубы свинцовые</t>
        </is>
      </c>
      <c r="E31" s="370" t="inlineStr">
        <is>
          <t>кг</t>
        </is>
      </c>
      <c r="F31" s="370" t="n">
        <v>3.3</v>
      </c>
      <c r="G31" s="372" t="n">
        <v>73.2</v>
      </c>
      <c r="H31" s="195">
        <f>ROUND(F31*G31,2)</f>
        <v/>
      </c>
      <c r="I31" s="241" t="n"/>
      <c r="J31" s="261" t="n"/>
      <c r="K31" s="261" t="n"/>
    </row>
    <row r="32">
      <c r="A32" s="322" t="n">
        <v>18</v>
      </c>
      <c r="B32" s="359" t="n"/>
      <c r="C32" s="249" t="inlineStr">
        <is>
          <t>14.4.02.09-0001</t>
        </is>
      </c>
      <c r="D32" s="369" t="inlineStr">
        <is>
          <t>Краска</t>
        </is>
      </c>
      <c r="E32" s="370" t="inlineStr">
        <is>
          <t>кг</t>
        </is>
      </c>
      <c r="F32" s="370" t="n">
        <v>8.1</v>
      </c>
      <c r="G32" s="372" t="n">
        <v>28.6</v>
      </c>
      <c r="H32" s="195">
        <f>ROUND(F32*G32,2)</f>
        <v/>
      </c>
      <c r="I32" s="241" t="n"/>
      <c r="J32" s="261" t="n"/>
      <c r="K32" s="261" t="n"/>
    </row>
    <row r="33">
      <c r="A33" s="322" t="n">
        <v>19</v>
      </c>
      <c r="B33" s="359" t="n"/>
      <c r="C33" s="249" t="inlineStr">
        <is>
          <t>01.3.02.09-0022</t>
        </is>
      </c>
      <c r="D33" s="369" t="inlineStr">
        <is>
          <t>Пропан-бутан смесь техническая</t>
        </is>
      </c>
      <c r="E33" s="370" t="inlineStr">
        <is>
          <t>кг</t>
        </is>
      </c>
      <c r="F33" s="370" t="n">
        <v>30</v>
      </c>
      <c r="G33" s="372" t="n">
        <v>6.09</v>
      </c>
      <c r="H33" s="195">
        <f>ROUND(F33*G33,2)</f>
        <v/>
      </c>
      <c r="I33" s="241" t="n"/>
      <c r="J33" s="261" t="n"/>
      <c r="K33" s="261" t="n"/>
    </row>
    <row r="34">
      <c r="A34" s="322" t="n">
        <v>20</v>
      </c>
      <c r="B34" s="359" t="n"/>
      <c r="C34" s="249" t="inlineStr">
        <is>
          <t>01.7.19.11-0011</t>
        </is>
      </c>
      <c r="D34" s="369" t="inlineStr">
        <is>
          <t>Трубка резиновая вакуумная из смеси резины 7889</t>
        </is>
      </c>
      <c r="E34" s="370" t="inlineStr">
        <is>
          <t>кг</t>
        </is>
      </c>
      <c r="F34" s="370" t="n">
        <v>2.4</v>
      </c>
      <c r="G34" s="372" t="n">
        <v>61.4</v>
      </c>
      <c r="H34" s="195">
        <f>ROUND(F34*G34,2)</f>
        <v/>
      </c>
      <c r="I34" s="241" t="n"/>
      <c r="J34" s="261" t="n"/>
      <c r="K34" s="261" t="n"/>
    </row>
    <row r="35">
      <c r="A35" s="322" t="n">
        <v>21</v>
      </c>
      <c r="B35" s="359" t="n"/>
      <c r="C35" s="249" t="inlineStr">
        <is>
          <t>01.7.11.07-0034</t>
        </is>
      </c>
      <c r="D35" s="369" t="inlineStr">
        <is>
          <t>Электроды сварочные Э42А, диаметр 4 мм</t>
        </is>
      </c>
      <c r="E35" s="370" t="inlineStr">
        <is>
          <t>кг</t>
        </is>
      </c>
      <c r="F35" s="370" t="n">
        <v>9.9</v>
      </c>
      <c r="G35" s="372" t="n">
        <v>10.57</v>
      </c>
      <c r="H35" s="195">
        <f>ROUND(F35*G35,2)</f>
        <v/>
      </c>
      <c r="I35" s="241" t="n"/>
      <c r="J35" s="261" t="n"/>
      <c r="K35" s="261" t="n"/>
    </row>
    <row r="36">
      <c r="A36" s="322" t="n">
        <v>22</v>
      </c>
      <c r="B36" s="359" t="n"/>
      <c r="C36" s="249" t="inlineStr">
        <is>
          <t>01.7.20.08-0031</t>
        </is>
      </c>
      <c r="D36" s="369" t="inlineStr">
        <is>
          <t>Бязь суровая</t>
        </is>
      </c>
      <c r="E36" s="370" t="inlineStr">
        <is>
          <t>10 м2</t>
        </is>
      </c>
      <c r="F36" s="370" t="n">
        <v>1.098</v>
      </c>
      <c r="G36" s="372" t="n">
        <v>79.09999999999999</v>
      </c>
      <c r="H36" s="195">
        <f>ROUND(F36*G36,2)</f>
        <v/>
      </c>
      <c r="I36" s="241" t="n"/>
      <c r="J36" s="261" t="n"/>
      <c r="K36" s="261" t="n"/>
    </row>
    <row r="37">
      <c r="A37" s="322" t="n">
        <v>23</v>
      </c>
      <c r="B37" s="359" t="n"/>
      <c r="C37" s="249" t="inlineStr">
        <is>
          <t>01.3.01.05-0009</t>
        </is>
      </c>
      <c r="D37" s="369" t="inlineStr">
        <is>
          <t>Парафин нефтяной твердый Т-1</t>
        </is>
      </c>
      <c r="E37" s="370" t="inlineStr">
        <is>
          <t>т</t>
        </is>
      </c>
      <c r="F37" s="370" t="n">
        <v>0.00744</v>
      </c>
      <c r="G37" s="372" t="n">
        <v>8105.71</v>
      </c>
      <c r="H37" s="195">
        <f>ROUND(F37*G37,2)</f>
        <v/>
      </c>
      <c r="I37" s="241" t="n"/>
      <c r="J37" s="261" t="n"/>
      <c r="K37" s="261" t="n"/>
    </row>
    <row r="38">
      <c r="A38" s="322" t="n">
        <v>24</v>
      </c>
      <c r="B38" s="359" t="n"/>
      <c r="C38" s="249" t="inlineStr">
        <is>
          <t>01.7.15.10-0053</t>
        </is>
      </c>
      <c r="D38" s="369" t="inlineStr">
        <is>
          <t>Скобы металлические</t>
        </is>
      </c>
      <c r="E38" s="370" t="inlineStr">
        <is>
          <t>кг</t>
        </is>
      </c>
      <c r="F38" s="370" t="n">
        <v>9</v>
      </c>
      <c r="G38" s="372" t="n">
        <v>6.4</v>
      </c>
      <c r="H38" s="201">
        <f>ROUND(F38*G38,2)</f>
        <v/>
      </c>
      <c r="I38" s="241" t="n"/>
      <c r="J38" s="261" t="n"/>
      <c r="K38" s="261" t="n"/>
    </row>
    <row r="39" ht="25.5" customHeight="1" s="319">
      <c r="A39" s="322" t="n">
        <v>25</v>
      </c>
      <c r="B39" s="359" t="n"/>
      <c r="C39" s="249" t="inlineStr">
        <is>
          <t>11.1.03.05-0085</t>
        </is>
      </c>
      <c r="D39" s="369" t="inlineStr">
        <is>
          <t>Доска необрезная, хвойных пород, длина 4-6,5 м, все ширины, толщина 44 мм и более, сорт III</t>
        </is>
      </c>
      <c r="E39" s="370" t="inlineStr">
        <is>
          <t>м3</t>
        </is>
      </c>
      <c r="F39" s="370" t="n">
        <v>0.012</v>
      </c>
      <c r="G39" s="372" t="n">
        <v>684</v>
      </c>
      <c r="H39" s="201">
        <f>ROUND(F39*G39,2)</f>
        <v/>
      </c>
      <c r="I39" s="241" t="n"/>
      <c r="J39" s="261" t="n"/>
      <c r="K39" s="261" t="n"/>
    </row>
    <row r="41">
      <c r="B41" s="321" t="inlineStr">
        <is>
          <t>Составил ______________________     А.Р. Маркова</t>
        </is>
      </c>
    </row>
    <row r="42">
      <c r="B42" s="277" t="inlineStr">
        <is>
          <t xml:space="preserve">                         (подпись, инициалы, фамилия)</t>
        </is>
      </c>
    </row>
    <row r="44">
      <c r="B44" s="321" t="inlineStr">
        <is>
          <t>Проверил ______________________        А.В. Костянецкая</t>
        </is>
      </c>
    </row>
    <row r="45">
      <c r="B45" s="27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82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41" t="inlineStr">
        <is>
          <t>Ресурсная модель</t>
        </is>
      </c>
    </row>
    <row r="6">
      <c r="B6" s="235" t="n"/>
      <c r="C6" s="288" t="n"/>
      <c r="D6" s="288" t="n"/>
      <c r="E6" s="288" t="n"/>
    </row>
    <row r="7">
      <c r="B7" s="361" t="inlineStr">
        <is>
          <t>Наименование разрабатываемого показателя УНЦ — Муфта соединительная 110 кВ сечением 1000 мм2</t>
        </is>
      </c>
    </row>
    <row r="8">
      <c r="B8" s="362" t="inlineStr">
        <is>
          <t>Единица измерения  — 1 ед</t>
        </is>
      </c>
    </row>
    <row r="9">
      <c r="B9" s="235" t="n"/>
      <c r="C9" s="288" t="n"/>
      <c r="D9" s="288" t="n"/>
      <c r="E9" s="288" t="n"/>
    </row>
    <row r="10" ht="51" customHeight="1" s="31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27" t="inlineStr">
        <is>
          <t>Оплата труда рабочих</t>
        </is>
      </c>
      <c r="C11" s="228">
        <f>'Прил.5 Расчет СМР и ОБ'!J15</f>
        <v/>
      </c>
      <c r="D11" s="229">
        <f>C11/$C$24</f>
        <v/>
      </c>
      <c r="E11" s="229">
        <f>C11/$C$40</f>
        <v/>
      </c>
    </row>
    <row r="12">
      <c r="B12" s="227" t="inlineStr">
        <is>
          <t>Эксплуатация машин основных</t>
        </is>
      </c>
      <c r="C12" s="228">
        <f>'Прил.5 Расчет СМР и ОБ'!J23</f>
        <v/>
      </c>
      <c r="D12" s="229">
        <f>C12/$C$24</f>
        <v/>
      </c>
      <c r="E12" s="229">
        <f>C12/$C$40</f>
        <v/>
      </c>
    </row>
    <row r="13">
      <c r="B13" s="227" t="inlineStr">
        <is>
          <t>Эксплуатация машин прочих</t>
        </is>
      </c>
      <c r="C13" s="228">
        <f>'Прил.5 Расчет СМР и ОБ'!J26</f>
        <v/>
      </c>
      <c r="D13" s="229">
        <f>C13/$C$24</f>
        <v/>
      </c>
      <c r="E13" s="229">
        <f>C13/$C$40</f>
        <v/>
      </c>
    </row>
    <row r="14">
      <c r="B14" s="227" t="inlineStr">
        <is>
          <t>ЭКСПЛУАТАЦИЯ МАШИН, ВСЕГО:</t>
        </is>
      </c>
      <c r="C14" s="228">
        <f>C13+C12</f>
        <v/>
      </c>
      <c r="D14" s="229">
        <f>C14/$C$24</f>
        <v/>
      </c>
      <c r="E14" s="229">
        <f>C14/$C$40</f>
        <v/>
      </c>
    </row>
    <row r="15">
      <c r="B15" s="227" t="inlineStr">
        <is>
          <t>в том числе зарплата машинистов</t>
        </is>
      </c>
      <c r="C15" s="228">
        <f>'Прил.5 Расчет СМР и ОБ'!J17</f>
        <v/>
      </c>
      <c r="D15" s="229">
        <f>C15/$C$24</f>
        <v/>
      </c>
      <c r="E15" s="229">
        <f>C15/$C$40</f>
        <v/>
      </c>
    </row>
    <row r="16">
      <c r="B16" s="227" t="inlineStr">
        <is>
          <t>Материалы основные</t>
        </is>
      </c>
      <c r="C16" s="228">
        <f>'Прил.5 Расчет СМР и ОБ'!J37</f>
        <v/>
      </c>
      <c r="D16" s="229">
        <f>C16/$C$24</f>
        <v/>
      </c>
      <c r="E16" s="229">
        <f>C16/$C$40</f>
        <v/>
      </c>
    </row>
    <row r="17">
      <c r="B17" s="227" t="inlineStr">
        <is>
          <t>Материалы прочие</t>
        </is>
      </c>
      <c r="C17" s="228">
        <f>'Прил.5 Расчет СМР и ОБ'!J55</f>
        <v/>
      </c>
      <c r="D17" s="229">
        <f>C17/$C$24</f>
        <v/>
      </c>
      <c r="E17" s="229">
        <f>C17/$C$40</f>
        <v/>
      </c>
      <c r="G17" s="442" t="n"/>
    </row>
    <row r="18">
      <c r="B18" s="227" t="inlineStr">
        <is>
          <t>МАТЕРИАЛЫ, ВСЕГО:</t>
        </is>
      </c>
      <c r="C18" s="228">
        <f>C17+C16</f>
        <v/>
      </c>
      <c r="D18" s="229">
        <f>C18/$C$24</f>
        <v/>
      </c>
      <c r="E18" s="229">
        <f>C18/$C$40</f>
        <v/>
      </c>
    </row>
    <row r="19">
      <c r="B19" s="227" t="inlineStr">
        <is>
          <t>ИТОГО</t>
        </is>
      </c>
      <c r="C19" s="228">
        <f>C18+C14+C11</f>
        <v/>
      </c>
      <c r="D19" s="229" t="n"/>
      <c r="E19" s="227" t="n"/>
    </row>
    <row r="20">
      <c r="B20" s="227" t="inlineStr">
        <is>
          <t>Сметная прибыль, руб.</t>
        </is>
      </c>
      <c r="C20" s="228">
        <f>ROUND(C21*(C11+C15),2)</f>
        <v/>
      </c>
      <c r="D20" s="229">
        <f>C20/$C$24</f>
        <v/>
      </c>
      <c r="E20" s="229">
        <f>C20/$C$40</f>
        <v/>
      </c>
    </row>
    <row r="21">
      <c r="B21" s="227" t="inlineStr">
        <is>
          <t>Сметная прибыль, %</t>
        </is>
      </c>
      <c r="C21" s="232">
        <f>'Прил.5 Расчет СМР и ОБ'!D59</f>
        <v/>
      </c>
      <c r="D21" s="229" t="n"/>
      <c r="E21" s="227" t="n"/>
    </row>
    <row r="22">
      <c r="B22" s="227" t="inlineStr">
        <is>
          <t>Накладные расходы, руб.</t>
        </is>
      </c>
      <c r="C22" s="228">
        <f>ROUND(C23*(C11+C15),2)</f>
        <v/>
      </c>
      <c r="D22" s="229">
        <f>C22/$C$24</f>
        <v/>
      </c>
      <c r="E22" s="229">
        <f>C22/$C$40</f>
        <v/>
      </c>
    </row>
    <row r="23">
      <c r="B23" s="227" t="inlineStr">
        <is>
          <t>Накладные расходы, %</t>
        </is>
      </c>
      <c r="C23" s="232">
        <f>'Прил.5 Расчет СМР и ОБ'!D58</f>
        <v/>
      </c>
      <c r="D23" s="229" t="n"/>
      <c r="E23" s="227" t="n"/>
    </row>
    <row r="24">
      <c r="B24" s="227" t="inlineStr">
        <is>
          <t>ВСЕГО СМР с НР и СП</t>
        </is>
      </c>
      <c r="C24" s="228">
        <f>C19+C20+C22</f>
        <v/>
      </c>
      <c r="D24" s="229">
        <f>C24/$C$24</f>
        <v/>
      </c>
      <c r="E24" s="229">
        <f>C24/$C$40</f>
        <v/>
      </c>
    </row>
    <row r="25" ht="25.5" customHeight="1" s="319">
      <c r="B25" s="227" t="inlineStr">
        <is>
          <t>ВСЕГО стоимость оборудования, в том числе</t>
        </is>
      </c>
      <c r="C25" s="228">
        <f>'Прил.5 Расчет СМР и ОБ'!J32</f>
        <v/>
      </c>
      <c r="D25" s="229" t="n"/>
      <c r="E25" s="229">
        <f>C25/$C$40</f>
        <v/>
      </c>
    </row>
    <row r="26" ht="25.5" customHeight="1" s="319">
      <c r="B26" s="227" t="inlineStr">
        <is>
          <t>стоимость оборудования технологического</t>
        </is>
      </c>
      <c r="C26" s="228">
        <f>'Прил.5 Расчет СМР и ОБ'!J33</f>
        <v/>
      </c>
      <c r="D26" s="229" t="n"/>
      <c r="E26" s="229">
        <f>C26/$C$40</f>
        <v/>
      </c>
    </row>
    <row r="27">
      <c r="B27" s="227" t="inlineStr">
        <is>
          <t>ИТОГО (СМР + ОБОРУДОВАНИЕ)</t>
        </is>
      </c>
      <c r="C27" s="231">
        <f>C24+C25</f>
        <v/>
      </c>
      <c r="D27" s="229" t="n"/>
      <c r="E27" s="229">
        <f>C27/$C$40</f>
        <v/>
      </c>
    </row>
    <row r="28" ht="33" customHeight="1" s="319">
      <c r="B28" s="227" t="inlineStr">
        <is>
          <t>ПРОЧ. ЗАТР., УЧТЕННЫЕ ПОКАЗАТЕЛЕМ,  в том числе</t>
        </is>
      </c>
      <c r="C28" s="227" t="n"/>
      <c r="D28" s="227" t="n"/>
      <c r="E28" s="227" t="n"/>
      <c r="F28" s="230" t="n"/>
    </row>
    <row r="29" ht="25.5" customHeight="1" s="319">
      <c r="B29" s="227" t="inlineStr">
        <is>
          <t>Временные здания и сооружения - 3,9%</t>
        </is>
      </c>
      <c r="C29" s="231">
        <f>ROUND(C24*3.9%,2)</f>
        <v/>
      </c>
      <c r="D29" s="227" t="n"/>
      <c r="E29" s="229">
        <f>C29/$C$40</f>
        <v/>
      </c>
    </row>
    <row r="30" ht="38.25" customHeight="1" s="319">
      <c r="B30" s="227" t="inlineStr">
        <is>
          <t>Дополнительные затраты при производстве строительно-монтажных работ в зимнее время - 2,1%</t>
        </is>
      </c>
      <c r="C30" s="231">
        <f>ROUND((C24+C29)*2.1%,2)</f>
        <v/>
      </c>
      <c r="D30" s="227" t="n"/>
      <c r="E30" s="229">
        <f>C30/$C$40</f>
        <v/>
      </c>
      <c r="F30" s="230" t="n"/>
    </row>
    <row r="31">
      <c r="B31" s="227" t="inlineStr">
        <is>
          <t>Пусконаладочные работы</t>
        </is>
      </c>
      <c r="C31" s="251" t="n">
        <v>0</v>
      </c>
      <c r="D31" s="227" t="n"/>
      <c r="E31" s="229">
        <f>C31/$C$40</f>
        <v/>
      </c>
    </row>
    <row r="32" ht="25.5" customHeight="1" s="319">
      <c r="B32" s="227" t="inlineStr">
        <is>
          <t>Затраты по перевозке работников к месту работы и обратно</t>
        </is>
      </c>
      <c r="C32" s="231">
        <f>ROUND(C27*0%,2)</f>
        <v/>
      </c>
      <c r="D32" s="227" t="n"/>
      <c r="E32" s="229">
        <f>C32/$C$40</f>
        <v/>
      </c>
    </row>
    <row r="33" ht="25.5" customHeight="1" s="319">
      <c r="B33" s="227" t="inlineStr">
        <is>
          <t>Затраты, связанные с осуществлением работ вахтовым методом</t>
        </is>
      </c>
      <c r="C33" s="231">
        <f>ROUND(C28*0%,2)</f>
        <v/>
      </c>
      <c r="D33" s="227" t="n"/>
      <c r="E33" s="229">
        <f>C33/$C$40</f>
        <v/>
      </c>
    </row>
    <row r="34" ht="51" customHeight="1" s="319">
      <c r="B34" s="2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1">
        <f>ROUND(C29*0%,2)</f>
        <v/>
      </c>
      <c r="D34" s="227" t="n"/>
      <c r="E34" s="229">
        <f>C34/$C$40</f>
        <v/>
      </c>
      <c r="H34" s="241" t="n"/>
    </row>
    <row r="35" ht="76.65000000000001" customHeight="1" s="319">
      <c r="B35" s="2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1">
        <f>ROUND(C30*0%,2)</f>
        <v/>
      </c>
      <c r="D35" s="227" t="n"/>
      <c r="E35" s="229">
        <f>C35/$C$40</f>
        <v/>
      </c>
    </row>
    <row r="36" ht="25.5" customHeight="1" s="319">
      <c r="B36" s="227" t="inlineStr">
        <is>
          <t>Строительный контроль и содержание службы заказчика - 2,14%</t>
        </is>
      </c>
      <c r="C36" s="231">
        <f>ROUND((C27+C32+C33+C34+C35+C29+C31+C30)*2.14%,2)</f>
        <v/>
      </c>
      <c r="D36" s="227" t="n"/>
      <c r="E36" s="229">
        <f>C36/$C$40</f>
        <v/>
      </c>
      <c r="G36" s="299" t="n"/>
      <c r="L36" s="230" t="n"/>
    </row>
    <row r="37">
      <c r="B37" s="227" t="inlineStr">
        <is>
          <t>Авторский надзор - 0,2%</t>
        </is>
      </c>
      <c r="C37" s="231">
        <f>ROUND((C27+C32+C33+C34+C35+C29+C31+C30)*0.2%,2)</f>
        <v/>
      </c>
      <c r="D37" s="227" t="n"/>
      <c r="E37" s="229">
        <f>C37/$C$40</f>
        <v/>
      </c>
      <c r="G37" s="300" t="n"/>
      <c r="L37" s="230" t="n"/>
    </row>
    <row r="38" ht="38.25" customHeight="1" s="319">
      <c r="B38" s="227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27" t="n"/>
      <c r="E38" s="229">
        <f>C38/$C$40</f>
        <v/>
      </c>
    </row>
    <row r="39" ht="13.65" customHeight="1" s="319">
      <c r="B39" s="227" t="inlineStr">
        <is>
          <t>Непредвиденные расходы</t>
        </is>
      </c>
      <c r="C39" s="228">
        <f>ROUND(C38*3%,2)</f>
        <v/>
      </c>
      <c r="D39" s="227" t="n"/>
      <c r="E39" s="229">
        <f>C39/$C$38</f>
        <v/>
      </c>
    </row>
    <row r="40">
      <c r="B40" s="227" t="inlineStr">
        <is>
          <t>ВСЕГО:</t>
        </is>
      </c>
      <c r="C40" s="228">
        <f>C39+C38</f>
        <v/>
      </c>
      <c r="D40" s="227" t="n"/>
      <c r="E40" s="229">
        <f>C40/$C$40</f>
        <v/>
      </c>
    </row>
    <row r="41">
      <c r="B41" s="227" t="inlineStr">
        <is>
          <t>ИТОГО ПОКАЗАТЕЛЬ НА ЕД. ИЗМ.</t>
        </is>
      </c>
      <c r="C41" s="228">
        <f>C40/'Прил.5 Расчет СМР и ОБ'!E62</f>
        <v/>
      </c>
      <c r="D41" s="227" t="n"/>
      <c r="E41" s="227" t="n"/>
    </row>
    <row r="42">
      <c r="B42" s="291" t="n"/>
      <c r="C42" s="288" t="n"/>
      <c r="D42" s="288" t="n"/>
      <c r="E42" s="288" t="n"/>
    </row>
    <row r="43">
      <c r="B43" s="291" t="inlineStr">
        <is>
          <t>Составил ____________________________ А.Р. Маркова</t>
        </is>
      </c>
      <c r="C43" s="288" t="n"/>
      <c r="D43" s="288" t="n"/>
      <c r="E43" s="288" t="n"/>
    </row>
    <row r="44">
      <c r="B44" s="291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1" t="n"/>
      <c r="C45" s="288" t="n"/>
      <c r="D45" s="288" t="n"/>
      <c r="E45" s="288" t="n"/>
    </row>
    <row r="46">
      <c r="B46" s="291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62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6" workbookViewId="0">
      <selection activeCell="B64" sqref="B64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9" min="13" max="13"/>
  </cols>
  <sheetData>
    <row r="1" s="319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9">
      <c r="A2" s="294" t="n"/>
      <c r="B2" s="294" t="n"/>
      <c r="C2" s="294" t="n"/>
      <c r="D2" s="294" t="n"/>
      <c r="E2" s="294" t="n"/>
      <c r="F2" s="294" t="n"/>
      <c r="G2" s="294" t="n"/>
      <c r="H2" s="378" t="inlineStr">
        <is>
          <t>Приложение №5</t>
        </is>
      </c>
      <c r="K2" s="294" t="n"/>
      <c r="L2" s="294" t="n"/>
      <c r="M2" s="294" t="n"/>
      <c r="N2" s="294" t="n"/>
    </row>
    <row r="3" s="319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88">
      <c r="A4" s="341" t="inlineStr">
        <is>
          <t>Расчет стоимости СМР и оборудования</t>
        </is>
      </c>
    </row>
    <row r="5" ht="12.75" customFormat="1" customHeight="1" s="288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88">
      <c r="A6" s="207" t="inlineStr">
        <is>
          <t>Наименование разрабатываемого показателя УНЦ</t>
        </is>
      </c>
      <c r="B6" s="206" t="n"/>
      <c r="C6" s="206" t="n"/>
      <c r="D6" s="344" t="inlineStr">
        <is>
          <t>Муфта соединительная 110 кВ сечением 1000 мм2</t>
        </is>
      </c>
    </row>
    <row r="7" ht="12.75" customFormat="1" customHeight="1" s="288">
      <c r="A7" s="344" t="inlineStr">
        <is>
          <t>Единица измерения  — 1 ед</t>
        </is>
      </c>
      <c r="I7" s="361" t="n"/>
      <c r="J7" s="361" t="n"/>
    </row>
    <row r="8" ht="13.65" customFormat="1" customHeight="1" s="288">
      <c r="A8" s="344" t="n"/>
    </row>
    <row r="9" ht="13.2" customFormat="1" customHeight="1" s="288"/>
    <row r="10" ht="27" customHeight="1" s="319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5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5" t="n"/>
      <c r="K10" s="294" t="n"/>
      <c r="L10" s="294" t="n"/>
      <c r="M10" s="294" t="n"/>
      <c r="N10" s="294" t="n"/>
    </row>
    <row r="11" ht="28.5" customHeight="1" s="319">
      <c r="A11" s="437" t="n"/>
      <c r="B11" s="437" t="n"/>
      <c r="C11" s="437" t="n"/>
      <c r="D11" s="437" t="n"/>
      <c r="E11" s="437" t="n"/>
      <c r="F11" s="370" t="inlineStr">
        <is>
          <t>на ед. изм.</t>
        </is>
      </c>
      <c r="G11" s="370" t="inlineStr">
        <is>
          <t>общая</t>
        </is>
      </c>
      <c r="H11" s="437" t="n"/>
      <c r="I11" s="370" t="inlineStr">
        <is>
          <t>на ед. изм.</t>
        </is>
      </c>
      <c r="J11" s="370" t="inlineStr">
        <is>
          <t>общая</t>
        </is>
      </c>
      <c r="K11" s="294" t="n"/>
      <c r="L11" s="294" t="n"/>
      <c r="M11" s="294" t="n"/>
      <c r="N11" s="294" t="n"/>
    </row>
    <row r="12" s="319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4" t="n">
        <v>9</v>
      </c>
      <c r="J12" s="364" t="n">
        <v>10</v>
      </c>
      <c r="K12" s="294" t="n"/>
      <c r="L12" s="294" t="n"/>
      <c r="M12" s="294" t="n"/>
      <c r="N12" s="294" t="n"/>
    </row>
    <row r="13">
      <c r="A13" s="370" t="n"/>
      <c r="B13" s="368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194" t="n"/>
      <c r="J13" s="194" t="n"/>
    </row>
    <row r="14" ht="25.5" customHeight="1" s="319">
      <c r="A14" s="370" t="n">
        <v>1</v>
      </c>
      <c r="B14" s="249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4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4">
      <c r="A15" s="370" t="n"/>
      <c r="B15" s="370" t="n"/>
      <c r="C15" s="368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3">
        <f>SUM(E14:E14)</f>
        <v/>
      </c>
      <c r="F15" s="201" t="n"/>
      <c r="G15" s="201">
        <f>SUM(G14:G14)</f>
        <v/>
      </c>
      <c r="H15" s="373" t="n">
        <v>1</v>
      </c>
      <c r="I15" s="194" t="n"/>
      <c r="J15" s="201">
        <f>SUM(J14:J14)</f>
        <v/>
      </c>
    </row>
    <row r="16" ht="14.25" customFormat="1" customHeight="1" s="294">
      <c r="A16" s="370" t="n"/>
      <c r="B16" s="369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194" t="n"/>
      <c r="J16" s="194" t="n"/>
    </row>
    <row r="17" ht="14.25" customFormat="1" customHeight="1" s="294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43" t="n">
        <v>9.300000000000001</v>
      </c>
      <c r="F17" s="201">
        <f>G17/E17</f>
        <v/>
      </c>
      <c r="G17" s="201">
        <f>'Прил. 3'!H13</f>
        <v/>
      </c>
      <c r="H17" s="373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4">
      <c r="A18" s="370" t="n"/>
      <c r="B18" s="368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14.25" customFormat="1" customHeight="1" s="294">
      <c r="A19" s="370" t="n"/>
      <c r="B19" s="369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194" t="n"/>
      <c r="J19" s="194" t="n"/>
    </row>
    <row r="20" ht="25.5" customFormat="1" customHeight="1" s="294">
      <c r="A20" s="370" t="n">
        <v>3</v>
      </c>
      <c r="B20" s="249" t="inlineStr">
        <is>
          <t>91.05.05-015</t>
        </is>
      </c>
      <c r="C20" s="369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370" t="n">
        <v>8.19</v>
      </c>
      <c r="F20" s="372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294">
      <c r="A21" s="370" t="n">
        <v>4</v>
      </c>
      <c r="B21" s="249" t="inlineStr">
        <is>
          <t>91.19.12-021</t>
        </is>
      </c>
      <c r="C21" s="369" t="inlineStr">
        <is>
          <t>Насосы вакуумные 3,6 м3/мин</t>
        </is>
      </c>
      <c r="D21" s="370" t="inlineStr">
        <is>
          <t>маш.час</t>
        </is>
      </c>
      <c r="E21" s="370" t="n">
        <v>38.88</v>
      </c>
      <c r="F21" s="372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294">
      <c r="A22" s="370" t="n">
        <v>5</v>
      </c>
      <c r="B22" s="249" t="inlineStr">
        <is>
          <t>91.03.02-011</t>
        </is>
      </c>
      <c r="C22" s="369" t="inlineStr">
        <is>
          <t>Вентиляторы во взрывобезопасном исполнении</t>
        </is>
      </c>
      <c r="D22" s="370" t="inlineStr">
        <is>
          <t>маш.час</t>
        </is>
      </c>
      <c r="E22" s="370" t="n">
        <v>44.16</v>
      </c>
      <c r="F22" s="372" t="n">
        <v>4.14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294">
      <c r="A23" s="370" t="n"/>
      <c r="B23" s="370" t="n"/>
      <c r="C23" s="369" t="inlineStr">
        <is>
          <t>Итого основные машины и механизмы</t>
        </is>
      </c>
      <c r="D23" s="370" t="n"/>
      <c r="E23" s="443" t="n"/>
      <c r="F23" s="201" t="n"/>
      <c r="G23" s="201">
        <f>SUM(G20:G22)</f>
        <v/>
      </c>
      <c r="H23" s="373">
        <f>G23/G27</f>
        <v/>
      </c>
      <c r="I23" s="195" t="n"/>
      <c r="J23" s="201">
        <f>SUM(J20:J22)</f>
        <v/>
      </c>
    </row>
    <row r="24" outlineLevel="1" ht="25.5" customFormat="1" customHeight="1" s="294">
      <c r="A24" s="370" t="n">
        <v>6</v>
      </c>
      <c r="B24" s="249" t="inlineStr">
        <is>
          <t>91.14.02-001</t>
        </is>
      </c>
      <c r="C24" s="369" t="inlineStr">
        <is>
          <t>Автомобили бортовые, грузоподъемность до 5 т</t>
        </is>
      </c>
      <c r="D24" s="370" t="inlineStr">
        <is>
          <t>маш.час</t>
        </is>
      </c>
      <c r="E24" s="370" t="n">
        <v>1.11</v>
      </c>
      <c r="F24" s="372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294">
      <c r="A25" s="370" t="n">
        <v>7</v>
      </c>
      <c r="B25" s="249" t="inlineStr">
        <is>
          <t>91.17.04-233</t>
        </is>
      </c>
      <c r="C25" s="369" t="inlineStr">
        <is>
          <t>Установки для сварки ручной дуговой (постоянного тока)</t>
        </is>
      </c>
      <c r="D25" s="370" t="inlineStr">
        <is>
          <t>маш.час</t>
        </is>
      </c>
      <c r="E25" s="370" t="n">
        <v>2.55</v>
      </c>
      <c r="F25" s="372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294">
      <c r="A26" s="370" t="n"/>
      <c r="B26" s="370" t="n"/>
      <c r="C26" s="369" t="inlineStr">
        <is>
          <t>Итого прочие машины и механизмы</t>
        </is>
      </c>
      <c r="D26" s="370" t="n"/>
      <c r="E26" s="371" t="n"/>
      <c r="F26" s="201" t="n"/>
      <c r="G26" s="195">
        <f>SUM(G24:G25)</f>
        <v/>
      </c>
      <c r="H26" s="203">
        <f>G26/G27</f>
        <v/>
      </c>
      <c r="I26" s="201" t="n"/>
      <c r="J26" s="201">
        <f>SUM(J24:J25)</f>
        <v/>
      </c>
    </row>
    <row r="27" ht="25.5" customFormat="1" customHeight="1" s="294">
      <c r="A27" s="370" t="n"/>
      <c r="B27" s="370" t="n"/>
      <c r="C27" s="368" t="inlineStr">
        <is>
          <t>Итого по разделу «Машины и механизмы»</t>
        </is>
      </c>
      <c r="D27" s="370" t="n"/>
      <c r="E27" s="371" t="n"/>
      <c r="F27" s="201" t="n"/>
      <c r="G27" s="201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294">
      <c r="A28" s="370" t="n"/>
      <c r="B28" s="368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194" t="n"/>
      <c r="J28" s="194" t="n"/>
    </row>
    <row r="29">
      <c r="A29" s="370" t="n"/>
      <c r="B29" s="369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194" t="n"/>
      <c r="J29" s="194" t="n"/>
      <c r="K29" s="294" t="n"/>
      <c r="L29" s="294" t="n"/>
    </row>
    <row r="30">
      <c r="A30" s="370" t="n"/>
      <c r="B30" s="370" t="n"/>
      <c r="C30" s="369" t="inlineStr">
        <is>
          <t>Итого основное оборудование</t>
        </is>
      </c>
      <c r="D30" s="370" t="n"/>
      <c r="E30" s="444" t="n"/>
      <c r="F30" s="372" t="n"/>
      <c r="G30" s="201" t="n">
        <v>0</v>
      </c>
      <c r="H30" s="203" t="n">
        <v>0</v>
      </c>
      <c r="I30" s="195" t="n"/>
      <c r="J30" s="201" t="n">
        <v>0</v>
      </c>
      <c r="K30" s="294" t="n"/>
      <c r="L30" s="294" t="n"/>
    </row>
    <row r="31">
      <c r="A31" s="370" t="n"/>
      <c r="B31" s="370" t="n"/>
      <c r="C31" s="369" t="inlineStr">
        <is>
          <t>Итого прочее оборудование</t>
        </is>
      </c>
      <c r="D31" s="370" t="n"/>
      <c r="E31" s="443" t="n"/>
      <c r="F31" s="372" t="n"/>
      <c r="G31" s="201" t="n">
        <v>0</v>
      </c>
      <c r="H31" s="203" t="n">
        <v>0</v>
      </c>
      <c r="I31" s="195" t="n"/>
      <c r="J31" s="201" t="n">
        <v>0</v>
      </c>
      <c r="K31" s="294" t="n"/>
      <c r="L31" s="294" t="n"/>
    </row>
    <row r="32">
      <c r="A32" s="370" t="n"/>
      <c r="B32" s="370" t="n"/>
      <c r="C32" s="368" t="inlineStr">
        <is>
          <t>Итого по разделу «Оборудование»</t>
        </is>
      </c>
      <c r="D32" s="370" t="n"/>
      <c r="E32" s="371" t="n"/>
      <c r="F32" s="372" t="n"/>
      <c r="G32" s="201">
        <f>G30+G31</f>
        <v/>
      </c>
      <c r="H32" s="203" t="n">
        <v>0</v>
      </c>
      <c r="I32" s="195" t="n"/>
      <c r="J32" s="201">
        <f>J31+J30</f>
        <v/>
      </c>
      <c r="K32" s="294" t="n"/>
      <c r="L32" s="294" t="n"/>
    </row>
    <row r="33" ht="25.5" customHeight="1" s="319">
      <c r="A33" s="370" t="n"/>
      <c r="B33" s="370" t="n"/>
      <c r="C33" s="369" t="inlineStr">
        <is>
          <t>в том числе технологическое оборудование</t>
        </is>
      </c>
      <c r="D33" s="370" t="n"/>
      <c r="E33" s="444" t="n"/>
      <c r="F33" s="372" t="n"/>
      <c r="G33" s="201">
        <f>'Прил.6 Расчет ОБ'!G12</f>
        <v/>
      </c>
      <c r="H33" s="373" t="n"/>
      <c r="I33" s="195" t="n"/>
      <c r="J33" s="201">
        <f>J32</f>
        <v/>
      </c>
      <c r="K33" s="294" t="n"/>
      <c r="L33" s="294" t="n"/>
    </row>
    <row r="34" ht="14.25" customFormat="1" customHeight="1" s="294">
      <c r="A34" s="370" t="n"/>
      <c r="B34" s="368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194" t="n"/>
      <c r="J34" s="194" t="n"/>
    </row>
    <row r="35" ht="14.25" customFormat="1" customHeight="1" s="294">
      <c r="A35" s="364" t="n"/>
      <c r="B35" s="363" t="inlineStr">
        <is>
          <t>Основные материалы</t>
        </is>
      </c>
      <c r="C35" s="445" t="n"/>
      <c r="D35" s="445" t="n"/>
      <c r="E35" s="445" t="n"/>
      <c r="F35" s="445" t="n"/>
      <c r="G35" s="445" t="n"/>
      <c r="H35" s="446" t="n"/>
      <c r="I35" s="209" t="n"/>
      <c r="J35" s="209" t="n"/>
    </row>
    <row r="36" ht="25.5" customFormat="1" customHeight="1" s="294">
      <c r="A36" s="370" t="n">
        <v>8</v>
      </c>
      <c r="B36" s="370" t="inlineStr">
        <is>
          <t>БЦ.91.188</t>
        </is>
      </c>
      <c r="C36" s="239" t="inlineStr">
        <is>
          <t>Муфта соединительная 110 кВ сечением 1000 мм2</t>
        </is>
      </c>
      <c r="D36" s="370" t="inlineStr">
        <is>
          <t>шт</t>
        </is>
      </c>
      <c r="E36" s="444" t="n">
        <v>6</v>
      </c>
      <c r="F36" s="372">
        <f>ROUND(I36/'Прил. 10'!$D$13,2)</f>
        <v/>
      </c>
      <c r="G36" s="201">
        <f>ROUND(E36*F36,2)</f>
        <v/>
      </c>
      <c r="H36" s="203">
        <f>G36/$G$56</f>
        <v/>
      </c>
      <c r="I36" s="201" t="n">
        <v>375471.7</v>
      </c>
      <c r="J36" s="201">
        <f>ROUND(I36*E36,2)</f>
        <v/>
      </c>
    </row>
    <row r="37" ht="14.25" customFormat="1" customHeight="1" s="294">
      <c r="A37" s="381" t="n"/>
      <c r="B37" s="211" t="n"/>
      <c r="C37" s="254" t="inlineStr">
        <is>
          <t>Итого основные материалы</t>
        </is>
      </c>
      <c r="D37" s="381" t="n"/>
      <c r="E37" s="447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294">
      <c r="A38" s="370" t="n">
        <v>9</v>
      </c>
      <c r="B38" s="249" t="inlineStr">
        <is>
          <t>01.1.02.01-0003</t>
        </is>
      </c>
      <c r="C38" s="369" t="inlineStr">
        <is>
          <t>Асботекстолит, марка Г</t>
        </is>
      </c>
      <c r="D38" s="370" t="inlineStr">
        <is>
          <t>т</t>
        </is>
      </c>
      <c r="E38" s="444" t="n">
        <v>0.0528</v>
      </c>
      <c r="F38" s="372" t="n">
        <v>161000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294">
      <c r="A39" s="370" t="n">
        <v>10</v>
      </c>
      <c r="B39" s="249" t="inlineStr">
        <is>
          <t>10.3.02.03-0011</t>
        </is>
      </c>
      <c r="C39" s="369" t="inlineStr">
        <is>
          <t>Припои оловянно-свинцовые бессурьмянистые, марка ПОС30</t>
        </is>
      </c>
      <c r="D39" s="370" t="inlineStr">
        <is>
          <t>т</t>
        </is>
      </c>
      <c r="E39" s="444" t="n">
        <v>0.0354</v>
      </c>
      <c r="F39" s="372" t="n">
        <v>68050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38.25" customFormat="1" customHeight="1" s="294">
      <c r="A40" s="370" t="n">
        <v>11</v>
      </c>
      <c r="B40" s="249" t="inlineStr">
        <is>
          <t>01.7.06.05-0041</t>
        </is>
      </c>
      <c r="C40" s="369" t="inlineStr">
        <is>
          <t>Лента изоляционная прорезиненная односторонняя, ширина 20 мм, толщина 0,25-0,35 мм</t>
        </is>
      </c>
      <c r="D40" s="370" t="inlineStr">
        <is>
          <t>кг</t>
        </is>
      </c>
      <c r="E40" s="444" t="n">
        <v>38.7</v>
      </c>
      <c r="F40" s="372" t="n">
        <v>30.4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4">
      <c r="A41" s="370" t="n">
        <v>12</v>
      </c>
      <c r="B41" s="249" t="inlineStr">
        <is>
          <t>01.7.03.04-0001</t>
        </is>
      </c>
      <c r="C41" s="369" t="inlineStr">
        <is>
          <t>Электроэнергия</t>
        </is>
      </c>
      <c r="D41" s="370" t="inlineStr">
        <is>
          <t>кВт-ч</t>
        </is>
      </c>
      <c r="E41" s="444" t="n">
        <v>2246.4</v>
      </c>
      <c r="F41" s="372" t="n">
        <v>0.4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294">
      <c r="A42" s="370" t="n">
        <v>13</v>
      </c>
      <c r="B42" s="249" t="inlineStr">
        <is>
          <t>14.2.06.05-0212</t>
        </is>
      </c>
      <c r="C42" s="369" t="inlineStr">
        <is>
          <t>Компаунд эпоксидный</t>
        </is>
      </c>
      <c r="D42" s="370" t="inlineStr">
        <is>
          <t>кг</t>
        </is>
      </c>
      <c r="E42" s="444" t="n">
        <v>7.2</v>
      </c>
      <c r="F42" s="372" t="n">
        <v>68.8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294">
      <c r="A43" s="370" t="n">
        <v>14</v>
      </c>
      <c r="B43" s="249" t="inlineStr">
        <is>
          <t>01.1.02.02-0022</t>
        </is>
      </c>
      <c r="C43" s="369" t="inlineStr">
        <is>
          <t>Бумага асбестовая электроизоляционная БЭ, толщина 0,2 мм</t>
        </is>
      </c>
      <c r="D43" s="370" t="inlineStr">
        <is>
          <t>т</t>
        </is>
      </c>
      <c r="E43" s="444" t="n">
        <v>0.0393</v>
      </c>
      <c r="F43" s="372" t="n">
        <v>11549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294">
      <c r="A44" s="370" t="n">
        <v>15</v>
      </c>
      <c r="B44" s="249" t="inlineStr">
        <is>
          <t>20.1.02.06-0001</t>
        </is>
      </c>
      <c r="C44" s="369" t="inlineStr">
        <is>
          <t>Жир паяльный</t>
        </is>
      </c>
      <c r="D44" s="370" t="inlineStr">
        <is>
          <t>кг</t>
        </is>
      </c>
      <c r="E44" s="444" t="n">
        <v>3.51</v>
      </c>
      <c r="F44" s="372" t="n">
        <v>100.8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38.25" customFormat="1" customHeight="1" s="294">
      <c r="A45" s="370" t="n">
        <v>16</v>
      </c>
      <c r="B45" s="249" t="inlineStr">
        <is>
          <t>10.2.02.08-0001</t>
        </is>
      </c>
      <c r="C45" s="369" t="inlineStr">
        <is>
          <t>Проволока медная, круглая, мягкая, электротехническая, диаметр 1,0-3,0 мм и выше</t>
        </is>
      </c>
      <c r="D45" s="370" t="inlineStr">
        <is>
          <t>т</t>
        </is>
      </c>
      <c r="E45" s="444" t="n">
        <v>0.0075</v>
      </c>
      <c r="F45" s="372" t="n">
        <v>37517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294">
      <c r="A46" s="370" t="n">
        <v>17</v>
      </c>
      <c r="B46" s="249" t="inlineStr">
        <is>
          <t>23.2.03.01-0002</t>
        </is>
      </c>
      <c r="C46" s="369" t="inlineStr">
        <is>
          <t>Трубы свинцовые</t>
        </is>
      </c>
      <c r="D46" s="370" t="inlineStr">
        <is>
          <t>кг</t>
        </is>
      </c>
      <c r="E46" s="444" t="n">
        <v>3.3</v>
      </c>
      <c r="F46" s="372" t="n">
        <v>73.2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294">
      <c r="A47" s="370" t="n">
        <v>18</v>
      </c>
      <c r="B47" s="249" t="inlineStr">
        <is>
          <t>14.4.02.09-0001</t>
        </is>
      </c>
      <c r="C47" s="369" t="inlineStr">
        <is>
          <t>Краска</t>
        </is>
      </c>
      <c r="D47" s="370" t="inlineStr">
        <is>
          <t>кг</t>
        </is>
      </c>
      <c r="E47" s="444" t="n">
        <v>8.1</v>
      </c>
      <c r="F47" s="372" t="n">
        <v>28.6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294">
      <c r="A48" s="370" t="n">
        <v>19</v>
      </c>
      <c r="B48" s="249" t="inlineStr">
        <is>
          <t>01.3.02.09-0022</t>
        </is>
      </c>
      <c r="C48" s="369" t="inlineStr">
        <is>
          <t>Пропан-бутан смесь техническая</t>
        </is>
      </c>
      <c r="D48" s="370" t="inlineStr">
        <is>
          <t>кг</t>
        </is>
      </c>
      <c r="E48" s="444" t="n">
        <v>30</v>
      </c>
      <c r="F48" s="372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294">
      <c r="A49" s="370" t="n">
        <v>20</v>
      </c>
      <c r="B49" s="249" t="inlineStr">
        <is>
          <t>01.7.19.11-0011</t>
        </is>
      </c>
      <c r="C49" s="369" t="inlineStr">
        <is>
          <t>Трубка резиновая вакуумная из смеси резины 7889</t>
        </is>
      </c>
      <c r="D49" s="370" t="inlineStr">
        <is>
          <t>кг</t>
        </is>
      </c>
      <c r="E49" s="444" t="n">
        <v>2.4</v>
      </c>
      <c r="F49" s="372" t="n">
        <v>61.4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294">
      <c r="A50" s="370" t="n">
        <v>21</v>
      </c>
      <c r="B50" s="249" t="inlineStr">
        <is>
          <t>01.7.11.07-0034</t>
        </is>
      </c>
      <c r="C50" s="369" t="inlineStr">
        <is>
          <t>Электроды сварочные Э42А, диаметр 4 мм</t>
        </is>
      </c>
      <c r="D50" s="370" t="inlineStr">
        <is>
          <t>кг</t>
        </is>
      </c>
      <c r="E50" s="444" t="n">
        <v>9.9</v>
      </c>
      <c r="F50" s="372" t="n">
        <v>10.57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14.25" customFormat="1" customHeight="1" s="294">
      <c r="A51" s="370" t="n">
        <v>22</v>
      </c>
      <c r="B51" s="249" t="inlineStr">
        <is>
          <t>01.7.20.08-0031</t>
        </is>
      </c>
      <c r="C51" s="369" t="inlineStr">
        <is>
          <t>Бязь суровая</t>
        </is>
      </c>
      <c r="D51" s="370" t="inlineStr">
        <is>
          <t>10 м2</t>
        </is>
      </c>
      <c r="E51" s="444" t="n">
        <v>1.098</v>
      </c>
      <c r="F51" s="372" t="n">
        <v>79.09999999999999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14.25" customFormat="1" customHeight="1" s="294">
      <c r="A52" s="370" t="n">
        <v>23</v>
      </c>
      <c r="B52" s="249" t="inlineStr">
        <is>
          <t>01.3.01.05-0009</t>
        </is>
      </c>
      <c r="C52" s="369" t="inlineStr">
        <is>
          <t>Парафин нефтяной твердый Т-1</t>
        </is>
      </c>
      <c r="D52" s="370" t="inlineStr">
        <is>
          <t>т</t>
        </is>
      </c>
      <c r="E52" s="444" t="n">
        <v>0.00744</v>
      </c>
      <c r="F52" s="372" t="n">
        <v>8105.71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294">
      <c r="A53" s="370" t="n">
        <v>24</v>
      </c>
      <c r="B53" s="249" t="inlineStr">
        <is>
          <t>01.7.15.10-0053</t>
        </is>
      </c>
      <c r="C53" s="369" t="inlineStr">
        <is>
          <t>Скобы металлические</t>
        </is>
      </c>
      <c r="D53" s="370" t="inlineStr">
        <is>
          <t>кг</t>
        </is>
      </c>
      <c r="E53" s="444" t="n">
        <v>9</v>
      </c>
      <c r="F53" s="372" t="n">
        <v>6.4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294">
      <c r="A54" s="370" t="n">
        <v>25</v>
      </c>
      <c r="B54" s="249" t="inlineStr">
        <is>
          <t>11.1.03.05-0085</t>
        </is>
      </c>
      <c r="C54" s="369" t="inlineStr">
        <is>
          <t>Доска необрезная, хвойных пород, длина 4-6,5 м, все ширины, толщина 44 мм и более, сорт III</t>
        </is>
      </c>
      <c r="D54" s="370" t="inlineStr">
        <is>
          <t>м3</t>
        </is>
      </c>
      <c r="E54" s="444" t="n">
        <v>0.012</v>
      </c>
      <c r="F54" s="372" t="n">
        <v>684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294">
      <c r="A55" s="381" t="n"/>
      <c r="B55" s="381" t="n"/>
      <c r="C55" s="254" t="inlineStr">
        <is>
          <t>Итого прочие материалы</t>
        </is>
      </c>
      <c r="D55" s="381" t="n"/>
      <c r="E55" s="447" t="n"/>
      <c r="F55" s="255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294">
      <c r="A56" s="370" t="n"/>
      <c r="B56" s="370" t="n"/>
      <c r="C56" s="368" t="inlineStr">
        <is>
          <t>Итого по разделу «Материалы»</t>
        </is>
      </c>
      <c r="D56" s="370" t="n"/>
      <c r="E56" s="371" t="n"/>
      <c r="F56" s="372" t="n"/>
      <c r="G56" s="201">
        <f>G37+G55</f>
        <v/>
      </c>
      <c r="H56" s="373">
        <f>G56/$G$56</f>
        <v/>
      </c>
      <c r="I56" s="201" t="n"/>
      <c r="J56" s="201">
        <f>J37+J55</f>
        <v/>
      </c>
    </row>
    <row r="57" ht="14.25" customFormat="1" customHeight="1" s="294">
      <c r="A57" s="370" t="n"/>
      <c r="B57" s="370" t="n"/>
      <c r="C57" s="369" t="inlineStr">
        <is>
          <t>ИТОГО ПО РМ</t>
        </is>
      </c>
      <c r="D57" s="370" t="n"/>
      <c r="E57" s="371" t="n"/>
      <c r="F57" s="372" t="n"/>
      <c r="G57" s="201">
        <f>G15+G27+G56</f>
        <v/>
      </c>
      <c r="H57" s="373" t="n"/>
      <c r="I57" s="201" t="n"/>
      <c r="J57" s="201">
        <f>J15+J27+J56</f>
        <v/>
      </c>
    </row>
    <row r="58" ht="14.25" customFormat="1" customHeight="1" s="294">
      <c r="A58" s="370" t="n"/>
      <c r="B58" s="370" t="n"/>
      <c r="C58" s="369" t="inlineStr">
        <is>
          <t>Накладные расходы</t>
        </is>
      </c>
      <c r="D58" s="197">
        <f>ROUND(G58/(G$17+$G$15),2)</f>
        <v/>
      </c>
      <c r="E58" s="371" t="n"/>
      <c r="F58" s="372" t="n"/>
      <c r="G58" s="201" t="n">
        <v>4957.16</v>
      </c>
      <c r="H58" s="373" t="n"/>
      <c r="I58" s="201" t="n"/>
      <c r="J58" s="201">
        <f>ROUND(D58*(J15+J17),2)</f>
        <v/>
      </c>
    </row>
    <row r="59" ht="14.25" customFormat="1" customHeight="1" s="294">
      <c r="A59" s="370" t="n"/>
      <c r="B59" s="370" t="n"/>
      <c r="C59" s="369" t="inlineStr">
        <is>
          <t>Сметная прибыль</t>
        </is>
      </c>
      <c r="D59" s="197">
        <f>ROUND(G59/(G$15+G$17),2)</f>
        <v/>
      </c>
      <c r="E59" s="371" t="n"/>
      <c r="F59" s="372" t="n"/>
      <c r="G59" s="201" t="n">
        <v>2606.34</v>
      </c>
      <c r="H59" s="373" t="n"/>
      <c r="I59" s="201" t="n"/>
      <c r="J59" s="201">
        <f>ROUND(D59*(J15+J17),2)</f>
        <v/>
      </c>
    </row>
    <row r="60" ht="14.25" customFormat="1" customHeight="1" s="294">
      <c r="A60" s="370" t="n"/>
      <c r="B60" s="370" t="n"/>
      <c r="C60" s="369" t="inlineStr">
        <is>
          <t>Итого СМР (с НР и СП)</t>
        </is>
      </c>
      <c r="D60" s="370" t="n"/>
      <c r="E60" s="371" t="n"/>
      <c r="F60" s="372" t="n"/>
      <c r="G60" s="201">
        <f>G15+G27+G56+G58+G59</f>
        <v/>
      </c>
      <c r="H60" s="373" t="n"/>
      <c r="I60" s="201" t="n"/>
      <c r="J60" s="201">
        <f>J15+J27+J56+J58+J59</f>
        <v/>
      </c>
    </row>
    <row r="61" ht="14.25" customFormat="1" customHeight="1" s="294">
      <c r="A61" s="370" t="n"/>
      <c r="B61" s="370" t="n"/>
      <c r="C61" s="369" t="inlineStr">
        <is>
          <t>ВСЕГО СМР + ОБОРУДОВАНИЕ</t>
        </is>
      </c>
      <c r="D61" s="370" t="n"/>
      <c r="E61" s="371" t="n"/>
      <c r="F61" s="372" t="n"/>
      <c r="G61" s="201">
        <f>G60+G32</f>
        <v/>
      </c>
      <c r="H61" s="373" t="n"/>
      <c r="I61" s="201" t="n"/>
      <c r="J61" s="201">
        <f>J60+J32</f>
        <v/>
      </c>
    </row>
    <row r="62" ht="34.5" customFormat="1" customHeight="1" s="294">
      <c r="A62" s="370" t="n"/>
      <c r="B62" s="370" t="n"/>
      <c r="C62" s="369" t="inlineStr">
        <is>
          <t>ИТОГО ПОКАЗАТЕЛЬ НА ЕД. ИЗМ.</t>
        </is>
      </c>
      <c r="D62" s="370" t="inlineStr">
        <is>
          <t>1 ед</t>
        </is>
      </c>
      <c r="E62" s="444" t="n">
        <v>1</v>
      </c>
      <c r="F62" s="372" t="n"/>
      <c r="G62" s="201">
        <f>G61/E62</f>
        <v/>
      </c>
      <c r="H62" s="373" t="n"/>
      <c r="I62" s="201" t="n"/>
      <c r="J62" s="201">
        <f>J61/E62</f>
        <v/>
      </c>
    </row>
    <row r="64" ht="14.25" customFormat="1" customHeight="1" s="294">
      <c r="A64" s="288" t="inlineStr">
        <is>
          <t>Составил ______________________    А.Р. Маркова</t>
        </is>
      </c>
    </row>
    <row r="65" ht="14.25" customFormat="1" customHeight="1" s="294">
      <c r="A65" s="295" t="inlineStr">
        <is>
          <t xml:space="preserve">                         (подпись, инициалы, фамилия)</t>
        </is>
      </c>
    </row>
    <row r="66" ht="14.25" customFormat="1" customHeight="1" s="294">
      <c r="A66" s="288" t="n"/>
    </row>
    <row r="67" ht="14.25" customFormat="1" customHeight="1" s="294">
      <c r="A67" s="288" t="inlineStr">
        <is>
          <t>Проверил ______________________        А.В. Костянецкая</t>
        </is>
      </c>
    </row>
    <row r="68" ht="14.25" customFormat="1" customHeight="1" s="294">
      <c r="A68" s="29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2" t="inlineStr">
        <is>
          <t>Приложение №6</t>
        </is>
      </c>
    </row>
    <row r="2" ht="21.75" customHeight="1" s="319">
      <c r="A2" s="382" t="n"/>
      <c r="B2" s="382" t="n"/>
      <c r="C2" s="382" t="n"/>
      <c r="D2" s="382" t="n"/>
      <c r="E2" s="382" t="n"/>
      <c r="F2" s="382" t="n"/>
      <c r="G2" s="382" t="n"/>
    </row>
    <row r="3">
      <c r="A3" s="341" t="inlineStr">
        <is>
          <t>Расчет стоимости оборудования</t>
        </is>
      </c>
    </row>
    <row r="4">
      <c r="A4" s="383" t="inlineStr">
        <is>
          <t>Наименование разрабатываемого показателя УНЦ — Муфта соединительная 110 кВ сечением 1000 мм2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.15" customHeight="1" s="319">
      <c r="A6" s="370" t="inlineStr">
        <is>
          <t>№ пп.</t>
        </is>
      </c>
      <c r="B6" s="370" t="inlineStr">
        <is>
          <t>Код ресурса</t>
        </is>
      </c>
      <c r="C6" s="370" t="inlineStr">
        <is>
          <t>Наименование</t>
        </is>
      </c>
      <c r="D6" s="370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9">
      <c r="A9" s="227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70" t="n"/>
      <c r="B10" s="368" t="n"/>
      <c r="C10" s="369" t="inlineStr">
        <is>
          <t>ИТОГО ИНЖЕНЕРНОЕ ОБОРУДОВАНИЕ</t>
        </is>
      </c>
      <c r="D10" s="368" t="n"/>
      <c r="E10" s="142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1" t="n">
        <v>0</v>
      </c>
    </row>
    <row r="13" ht="19.5" customHeight="1" s="31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1">
        <f>G10+G12</f>
        <v/>
      </c>
    </row>
    <row r="14">
      <c r="A14" s="292" t="n"/>
      <c r="B14" s="293" t="n"/>
      <c r="C14" s="292" t="n"/>
      <c r="D14" s="292" t="n"/>
      <c r="E14" s="292" t="n"/>
      <c r="F14" s="292" t="n"/>
      <c r="G14" s="292" t="n"/>
    </row>
    <row r="15">
      <c r="A15" s="288" t="inlineStr">
        <is>
          <t>Составил ______________________    А.Р. Маркова</t>
        </is>
      </c>
      <c r="B15" s="294" t="n"/>
      <c r="C15" s="294" t="n"/>
      <c r="D15" s="292" t="n"/>
      <c r="E15" s="292" t="n"/>
      <c r="F15" s="292" t="n"/>
      <c r="G15" s="292" t="n"/>
    </row>
    <row r="16">
      <c r="A16" s="295" t="inlineStr">
        <is>
          <t xml:space="preserve">                         (подпись, инициалы, фамилия)</t>
        </is>
      </c>
      <c r="B16" s="294" t="n"/>
      <c r="C16" s="294" t="n"/>
      <c r="D16" s="292" t="n"/>
      <c r="E16" s="292" t="n"/>
      <c r="F16" s="292" t="n"/>
      <c r="G16" s="292" t="n"/>
    </row>
    <row r="17">
      <c r="A17" s="288" t="n"/>
      <c r="B17" s="294" t="n"/>
      <c r="C17" s="294" t="n"/>
      <c r="D17" s="292" t="n"/>
      <c r="E17" s="292" t="n"/>
      <c r="F17" s="292" t="n"/>
      <c r="G17" s="292" t="n"/>
    </row>
    <row r="18">
      <c r="A18" s="288" t="inlineStr">
        <is>
          <t>Проверил ______________________        А.В. Костянецкая</t>
        </is>
      </c>
      <c r="B18" s="294" t="n"/>
      <c r="C18" s="294" t="n"/>
      <c r="D18" s="292" t="n"/>
      <c r="E18" s="292" t="n"/>
      <c r="F18" s="292" t="n"/>
      <c r="G18" s="292" t="n"/>
    </row>
    <row r="19">
      <c r="A19" s="295" t="inlineStr">
        <is>
          <t xml:space="preserve">                        (подпись, инициалы, фамилия)</t>
        </is>
      </c>
      <c r="B19" s="294" t="n"/>
      <c r="C19" s="294" t="n"/>
      <c r="D19" s="292" t="n"/>
      <c r="E19" s="292" t="n"/>
      <c r="F19" s="292" t="n"/>
      <c r="G19" s="2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19" min="1" max="1"/>
    <col width="29.5546875" customWidth="1" style="319" min="2" max="2"/>
    <col width="39.109375" customWidth="1" style="319" min="3" max="3"/>
    <col width="48.109375" customWidth="1" style="319" min="4" max="4"/>
    <col width="8.88671875" customWidth="1" style="319" min="5" max="5"/>
  </cols>
  <sheetData>
    <row r="1">
      <c r="B1" s="288" t="n"/>
      <c r="C1" s="288" t="n"/>
      <c r="D1" s="382" t="inlineStr">
        <is>
          <t>Приложение №7</t>
        </is>
      </c>
    </row>
    <row r="2" ht="25.95" customHeight="1" s="319">
      <c r="A2" s="382" t="n"/>
      <c r="B2" s="382" t="n"/>
      <c r="C2" s="382" t="n"/>
      <c r="D2" s="382" t="n"/>
    </row>
    <row r="3" ht="24.75" customHeight="1" s="319">
      <c r="A3" s="341" t="inlineStr">
        <is>
          <t>Расчет показателя УНЦ</t>
        </is>
      </c>
    </row>
    <row r="4" ht="24.75" customHeight="1" s="319">
      <c r="A4" s="341" t="n"/>
      <c r="B4" s="341" t="n"/>
      <c r="C4" s="341" t="n"/>
      <c r="D4" s="341" t="n"/>
    </row>
    <row r="5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5" customHeight="1" s="319">
      <c r="A6" s="344" t="inlineStr">
        <is>
          <t>Единица измерения  — 1 ед</t>
        </is>
      </c>
      <c r="D6" s="344" t="n"/>
    </row>
    <row r="7">
      <c r="A7" s="288" t="n"/>
      <c r="B7" s="288" t="n"/>
      <c r="C7" s="288" t="n"/>
      <c r="D7" s="288" t="n"/>
    </row>
    <row r="8" ht="14.4" customHeight="1" s="319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19">
      <c r="A9" s="437" t="n"/>
      <c r="B9" s="437" t="n"/>
      <c r="C9" s="437" t="n"/>
      <c r="D9" s="437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" customHeight="1" s="319">
      <c r="A11" s="370" t="inlineStr">
        <is>
          <t>К1-14-5</t>
        </is>
      </c>
      <c r="B11" s="370" t="inlineStr">
        <is>
          <t>УНЦ КЛ 6-500 кВ (с алюминиевой жилой)</t>
        </is>
      </c>
      <c r="C11" s="298">
        <f>D5</f>
        <v/>
      </c>
      <c r="D11" s="290">
        <f>'Прил.4 РМ'!C41/1000</f>
        <v/>
      </c>
      <c r="E11" s="291" t="n"/>
    </row>
    <row r="12">
      <c r="A12" s="292" t="n"/>
      <c r="B12" s="293" t="n"/>
      <c r="C12" s="292" t="n"/>
      <c r="D12" s="292" t="n"/>
    </row>
    <row r="13">
      <c r="A13" s="288" t="inlineStr">
        <is>
          <t>Составил ______________________      А.Р. Маркова</t>
        </is>
      </c>
      <c r="B13" s="294" t="n"/>
      <c r="C13" s="294" t="n"/>
      <c r="D13" s="292" t="n"/>
    </row>
    <row r="14">
      <c r="A14" s="295" t="inlineStr">
        <is>
          <t xml:space="preserve">                         (подпись, инициалы, фамилия)</t>
        </is>
      </c>
      <c r="B14" s="294" t="n"/>
      <c r="C14" s="294" t="n"/>
      <c r="D14" s="292" t="n"/>
    </row>
    <row r="15">
      <c r="A15" s="288" t="n"/>
      <c r="B15" s="294" t="n"/>
      <c r="C15" s="294" t="n"/>
      <c r="D15" s="292" t="n"/>
    </row>
    <row r="16">
      <c r="A16" s="288" t="inlineStr">
        <is>
          <t>Проверил ______________________        А.В. Костянецкая</t>
        </is>
      </c>
      <c r="B16" s="294" t="n"/>
      <c r="C16" s="294" t="n"/>
      <c r="D16" s="292" t="n"/>
    </row>
    <row r="17">
      <c r="A17" s="295" t="inlineStr">
        <is>
          <t xml:space="preserve">                        (подпись, инициалы, фамилия)</t>
        </is>
      </c>
      <c r="B17" s="294" t="n"/>
      <c r="C17" s="294" t="n"/>
      <c r="D17" s="2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2" sqref="D12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8.5546875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49" t="inlineStr">
        <is>
          <t>Приложение № 10</t>
        </is>
      </c>
    </row>
    <row r="5" ht="18.75" customHeight="1" s="319">
      <c r="B5" s="166" t="n"/>
    </row>
    <row r="6" ht="15.75" customHeight="1" s="319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9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9">
      <c r="B10" s="354" t="n">
        <v>1</v>
      </c>
      <c r="C10" s="354" t="n">
        <v>2</v>
      </c>
      <c r="D10" s="354" t="n">
        <v>3</v>
      </c>
    </row>
    <row r="11" ht="31.5" customHeight="1" s="319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31.5" customHeight="1" s="319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31.5" customHeight="1" s="319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1.5" customHeight="1" s="319">
      <c r="B14" s="354" t="inlineStr">
        <is>
          <t>Индекс изменения сметной стоимости на 1 квартал 2023 года. ОБ</t>
        </is>
      </c>
      <c r="C14" s="354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19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97" t="n">
        <v>0.039</v>
      </c>
    </row>
    <row r="16" ht="78.75" customHeight="1" s="319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97" t="n">
        <v>0.021</v>
      </c>
    </row>
    <row r="17" ht="15.75" customHeight="1" s="319">
      <c r="B17" s="354" t="inlineStr">
        <is>
          <t>Пусконаладочные работы*</t>
        </is>
      </c>
      <c r="C17" s="354" t="n"/>
      <c r="D17" s="297" t="inlineStr">
        <is>
          <t>Расчет</t>
        </is>
      </c>
    </row>
    <row r="18" ht="31.65" customHeight="1" s="319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297" t="n">
        <v>0.0214</v>
      </c>
    </row>
    <row r="19" ht="31.65" customHeight="1" s="319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297" t="n">
        <v>0.002</v>
      </c>
    </row>
    <row r="20" ht="24" customHeight="1" s="319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297" t="n">
        <v>0.03</v>
      </c>
    </row>
    <row r="21" ht="18.75" customHeight="1" s="319">
      <c r="B21" s="269" t="n"/>
    </row>
    <row r="22" ht="18.75" customHeight="1" s="319">
      <c r="B22" s="269" t="n"/>
    </row>
    <row r="23" ht="18.75" customHeight="1" s="319">
      <c r="B23" s="269" t="n"/>
    </row>
    <row r="24" ht="18.75" customHeight="1" s="319">
      <c r="B24" s="269" t="n"/>
    </row>
    <row r="27">
      <c r="B27" s="288" t="inlineStr">
        <is>
          <t>Составил ______________________        Е.А. Князева</t>
        </is>
      </c>
      <c r="C27" s="294" t="n"/>
    </row>
    <row r="28">
      <c r="B28" s="295" t="inlineStr">
        <is>
          <t xml:space="preserve">                         (подпись, инициалы, фамилия)</t>
        </is>
      </c>
      <c r="C28" s="294" t="n"/>
    </row>
    <row r="29">
      <c r="B29" s="288" t="n"/>
      <c r="C29" s="294" t="n"/>
    </row>
    <row r="30">
      <c r="B30" s="288" t="inlineStr">
        <is>
          <t>Проверил ______________________        А.В. Костянецкая</t>
        </is>
      </c>
      <c r="C30" s="294" t="n"/>
    </row>
    <row r="31">
      <c r="B31" s="295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4" t="n"/>
      <c r="D10" s="354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60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2025-01-24T12:04:22Z</dcterms:modified>
  <cp:lastModifiedBy>user1</cp:lastModifiedBy>
</cp:coreProperties>
</file>