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6" zoomScale="60" zoomScaleNormal="70" workbookViewId="0">
      <selection activeCell="C26" sqref="C26"/>
    </sheetView>
  </sheetViews>
  <sheetFormatPr baseColWidth="8" defaultColWidth="9.109375" defaultRowHeight="14.4"/>
  <cols>
    <col width="9.109375" customWidth="1" style="323" min="1" max="2"/>
    <col width="36.88671875" customWidth="1" style="323" min="3" max="3"/>
    <col width="39.33203125" customWidth="1" style="323" min="4" max="4"/>
    <col width="9.109375" customWidth="1" style="323" min="5" max="5"/>
  </cols>
  <sheetData>
    <row r="3" ht="15.75" customHeight="1" s="323">
      <c r="B3" s="353" t="inlineStr">
        <is>
          <t>Приложение № 1</t>
        </is>
      </c>
    </row>
    <row r="4" ht="18.75" customHeight="1" s="323">
      <c r="B4" s="354" t="inlineStr">
        <is>
          <t>Сравнительная таблица отбора объекта-представителя</t>
        </is>
      </c>
    </row>
    <row r="5" ht="81" customHeight="1" s="323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79" t="n"/>
      <c r="C6" s="279" t="n"/>
      <c r="D6" s="279" t="n"/>
    </row>
    <row r="7" ht="36" customHeight="1" s="323">
      <c r="B7" s="352" t="inlineStr">
        <is>
          <t xml:space="preserve">Наименование разрабатываемого показателя УНЦ -  КЛ 220 кВ (с алюминиевой жилой) сечение жилы 1200 мм2. Кабель </t>
        </is>
      </c>
    </row>
    <row r="8" ht="15.75" customHeight="1" s="323">
      <c r="B8" s="352" t="inlineStr">
        <is>
          <t>Сопоставимый уровень цен: 2 кв. 2018 г.</t>
        </is>
      </c>
    </row>
    <row r="9" ht="15.75" customHeight="1" s="323">
      <c r="B9" s="352" t="inlineStr">
        <is>
          <t>Единица измерения  — 1 км</t>
        </is>
      </c>
    </row>
    <row r="10" ht="18.75" customHeight="1" s="323">
      <c r="B10" s="280" t="n"/>
    </row>
    <row r="11" ht="15.75" customHeight="1" s="323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</row>
    <row r="12" ht="94.5" customHeight="1" s="323">
      <c r="B12" s="358" t="n">
        <v>1</v>
      </c>
      <c r="C12" s="337" t="inlineStr">
        <is>
          <t>Наименование объекта-представителя</t>
        </is>
      </c>
      <c r="D12" s="35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284" t="n"/>
      <c r="F12" s="284" t="n"/>
      <c r="G12" s="284" t="n"/>
      <c r="H12" s="284" t="n"/>
      <c r="I12" s="284" t="n"/>
      <c r="J12" s="284" t="n"/>
      <c r="K12" s="284" t="n"/>
      <c r="L12" s="284" t="n"/>
    </row>
    <row r="13" ht="31.5" customHeight="1" s="323">
      <c r="B13" s="358" t="n">
        <v>2</v>
      </c>
      <c r="C13" s="337" t="inlineStr">
        <is>
          <t>Наименование субъекта Российской Федерации</t>
        </is>
      </c>
      <c r="D13" s="358" t="inlineStr">
        <is>
          <t>Ленинградская область</t>
        </is>
      </c>
    </row>
    <row r="14" ht="15.75" customHeight="1" s="323">
      <c r="B14" s="358" t="n">
        <v>3</v>
      </c>
      <c r="C14" s="337" t="inlineStr">
        <is>
          <t>Климатический район и подрайон</t>
        </is>
      </c>
      <c r="D14" s="358" t="inlineStr">
        <is>
          <t>IIВ</t>
        </is>
      </c>
    </row>
    <row r="15" ht="15.75" customHeight="1" s="323">
      <c r="B15" s="358" t="n">
        <v>4</v>
      </c>
      <c r="C15" s="337" t="inlineStr">
        <is>
          <t>Мощность объекта</t>
        </is>
      </c>
      <c r="D15" s="358" t="n">
        <v>1</v>
      </c>
    </row>
    <row r="16" ht="94.5" customHeight="1" s="323">
      <c r="B16" s="358" t="n">
        <v>5</v>
      </c>
      <c r="C16" s="28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Кабель алюминиевый 220кВ 3х1200</t>
        </is>
      </c>
    </row>
    <row r="17" ht="78.75" customHeight="1" s="323">
      <c r="B17" s="358" t="n">
        <v>6</v>
      </c>
      <c r="C17" s="28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</row>
    <row r="18" ht="15.75" customHeight="1" s="323">
      <c r="B18" s="287" t="inlineStr">
        <is>
          <t>6.1</t>
        </is>
      </c>
      <c r="C18" s="337" t="inlineStr">
        <is>
          <t>строительно-монтажные работы</t>
        </is>
      </c>
      <c r="D18" s="321">
        <f>'Прил.2 Расч стоим'!G13</f>
        <v/>
      </c>
    </row>
    <row r="19" ht="15.75" customHeight="1" s="323">
      <c r="B19" s="287" t="inlineStr">
        <is>
          <t>6.2</t>
        </is>
      </c>
      <c r="C19" s="337" t="inlineStr">
        <is>
          <t>оборудование и инвентарь</t>
        </is>
      </c>
      <c r="D19" s="321" t="n">
        <v>0</v>
      </c>
    </row>
    <row r="20" ht="15.75" customHeight="1" s="323">
      <c r="B20" s="287" t="inlineStr">
        <is>
          <t>6.3</t>
        </is>
      </c>
      <c r="C20" s="337" t="inlineStr">
        <is>
          <t>пусконаладочные работы</t>
        </is>
      </c>
      <c r="D20" s="321" t="n">
        <v>0</v>
      </c>
    </row>
    <row r="21" ht="31.5" customHeight="1" s="323">
      <c r="B21" s="287" t="inlineStr">
        <is>
          <t>6.4</t>
        </is>
      </c>
      <c r="C21" s="337" t="inlineStr">
        <is>
          <t>прочие и лимитированные затраты</t>
        </is>
      </c>
      <c r="D21" s="321">
        <f>D18*0.039+(D18*0.039+D18)*0.021</f>
        <v/>
      </c>
    </row>
    <row r="22" ht="15.75" customHeight="1" s="323">
      <c r="B22" s="358" t="n">
        <v>7</v>
      </c>
      <c r="C22" s="337" t="inlineStr">
        <is>
          <t>Сопоставимый уровень цен</t>
        </is>
      </c>
      <c r="D22" s="322" t="inlineStr">
        <is>
          <t>2 кв. 2018 г.</t>
        </is>
      </c>
    </row>
    <row r="23" ht="110.25" customHeight="1" s="323">
      <c r="B23" s="358" t="n">
        <v>8</v>
      </c>
      <c r="C23" s="2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</row>
    <row r="24" ht="47.25" customHeight="1" s="323">
      <c r="B24" s="358" t="n">
        <v>9</v>
      </c>
      <c r="C24" s="286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</row>
    <row r="25" ht="15.75" customHeight="1" s="323">
      <c r="B25" s="288" t="n"/>
      <c r="C25" s="289" t="n"/>
      <c r="D25" s="289" t="n"/>
    </row>
    <row r="26">
      <c r="B26" s="299" t="inlineStr">
        <is>
          <t>Составил ______________________        Е.А. Князева</t>
        </is>
      </c>
      <c r="C26" s="306" t="n"/>
    </row>
    <row r="27">
      <c r="B27" s="307" t="inlineStr">
        <is>
          <t xml:space="preserve">                         (подпись, инициалы, фамилия)</t>
        </is>
      </c>
      <c r="C27" s="306" t="n"/>
    </row>
    <row r="28">
      <c r="B28" s="299" t="n"/>
      <c r="C28" s="306" t="n"/>
    </row>
    <row r="29">
      <c r="B29" s="299" t="inlineStr">
        <is>
          <t>Проверил ______________________        А.В. Костянецкая</t>
        </is>
      </c>
      <c r="C29" s="306" t="n"/>
    </row>
    <row r="30">
      <c r="B30" s="307" t="inlineStr">
        <is>
          <t xml:space="preserve">                        (подпись, инициалы, фамилия)</t>
        </is>
      </c>
      <c r="C30" s="306" t="n"/>
    </row>
    <row r="31" ht="15.75" customHeight="1" s="323">
      <c r="B31" s="289" t="n"/>
      <c r="C31" s="289" t="n"/>
      <c r="D31" s="28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664062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3" t="inlineStr">
        <is>
          <t>Приложение № 2</t>
        </is>
      </c>
      <c r="K3" s="288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3">
      <c r="B6" s="352" t="inlineStr">
        <is>
          <t xml:space="preserve">Наименование разрабатываемого показателя УНЦ -  КЛ 220 кВ (с алюминиевой жилой) сечение жилы 1200 мм2. Кабель </t>
        </is>
      </c>
    </row>
    <row r="7">
      <c r="B7" s="352" t="inlineStr">
        <is>
          <t>Единица измерения  — 1 км</t>
        </is>
      </c>
    </row>
    <row r="8" ht="18.75" customHeight="1" s="323">
      <c r="B8" s="280" t="n"/>
    </row>
    <row r="9" ht="15.75" customHeight="1" s="323">
      <c r="A9" s="325" t="n"/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25" t="n"/>
      <c r="L9" s="325" t="n"/>
    </row>
    <row r="10" ht="15.75" customHeight="1" s="323">
      <c r="A10" s="325" t="n"/>
      <c r="B10" s="439" t="n"/>
      <c r="C10" s="439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 г., тыс. руб.</t>
        </is>
      </c>
      <c r="G10" s="437" t="n"/>
      <c r="H10" s="437" t="n"/>
      <c r="I10" s="437" t="n"/>
      <c r="J10" s="438" t="n"/>
      <c r="K10" s="325" t="n"/>
      <c r="L10" s="325" t="n"/>
    </row>
    <row r="11" ht="31.5" customHeight="1" s="323">
      <c r="A11" s="325" t="n"/>
      <c r="B11" s="440" t="n"/>
      <c r="C11" s="440" t="n"/>
      <c r="D11" s="440" t="n"/>
      <c r="E11" s="440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5" t="n"/>
      <c r="L11" s="325" t="n"/>
    </row>
    <row r="12" ht="60" customHeight="1" s="323">
      <c r="A12" s="325" t="n"/>
      <c r="B12" s="326" t="n">
        <v>1</v>
      </c>
      <c r="C12" s="342">
        <f>'Прил.1 Сравнит табл'!D16</f>
        <v/>
      </c>
      <c r="D12" s="315" t="inlineStr">
        <is>
          <t>02-08-01</t>
        </is>
      </c>
      <c r="E12" s="337" t="inlineStr">
        <is>
          <t>Заходы КЛ 220 кВ</t>
        </is>
      </c>
      <c r="F12" s="316" t="n"/>
      <c r="G12" s="316">
        <f>21551373.882/1000</f>
        <v/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3">
      <c r="A13" s="325" t="n"/>
      <c r="B13" s="356" t="inlineStr">
        <is>
          <t>Всего по объекту:</t>
        </is>
      </c>
      <c r="C13" s="437" t="n"/>
      <c r="D13" s="437" t="n"/>
      <c r="E13" s="438" t="n"/>
      <c r="F13" s="320" t="n"/>
      <c r="G13" s="320">
        <f>SUM(G12:G12)</f>
        <v/>
      </c>
      <c r="H13" s="320" t="n"/>
      <c r="I13" s="320" t="n"/>
      <c r="J13" s="320">
        <f>SUM(F13:I13)</f>
        <v/>
      </c>
      <c r="K13" s="318" t="n"/>
      <c r="L13" s="318" t="n"/>
    </row>
    <row r="14" ht="15.75" customHeight="1" s="323">
      <c r="A14" s="325" t="n"/>
      <c r="B14" s="356" t="inlineStr">
        <is>
          <t>Всего по объекту в сопоставимом уровне цен 2 кв. 2018 г. :</t>
        </is>
      </c>
      <c r="C14" s="437" t="n"/>
      <c r="D14" s="437" t="n"/>
      <c r="E14" s="438" t="n"/>
      <c r="F14" s="320" t="n"/>
      <c r="G14" s="320">
        <f>G13</f>
        <v/>
      </c>
      <c r="H14" s="320" t="n"/>
      <c r="I14" s="320" t="n"/>
      <c r="J14" s="320">
        <f>SUM(F14:I14)</f>
        <v/>
      </c>
      <c r="K14" s="325" t="n"/>
      <c r="L14" s="318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299" t="inlineStr">
        <is>
          <t>Составил ______________________     А.Р. Маркова</t>
        </is>
      </c>
      <c r="D18" s="306" t="n"/>
      <c r="E18" s="306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07" t="inlineStr">
        <is>
          <t xml:space="preserve">                         (подпись, инициалы, фамилия)</t>
        </is>
      </c>
      <c r="D19" s="306" t="n"/>
      <c r="E19" s="306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299" t="n"/>
      <c r="D20" s="306" t="n"/>
      <c r="E20" s="306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299" t="inlineStr">
        <is>
          <t>Проверил ______________________        А.В. Костянецкая</t>
        </is>
      </c>
      <c r="D21" s="306" t="n"/>
      <c r="E21" s="306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07" t="inlineStr">
        <is>
          <t xml:space="preserve">                        (подпись, инициалы, фамилия)</t>
        </is>
      </c>
      <c r="D22" s="306" t="n"/>
      <c r="E22" s="306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>
      <c r="A25" s="325" t="n"/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</row>
    <row r="26" ht="15" customHeight="1" s="323">
      <c r="A26" s="325" t="n"/>
      <c r="B26" s="325" t="n"/>
      <c r="C26" s="325" t="n"/>
      <c r="D26" s="325" t="n"/>
      <c r="E26" s="325" t="n"/>
      <c r="F26" s="325" t="n"/>
      <c r="G26" s="325" t="n"/>
      <c r="H26" s="325" t="n"/>
      <c r="I26" s="325" t="n"/>
      <c r="J26" s="325" t="n"/>
      <c r="K26" s="325" t="n"/>
      <c r="L26" s="325" t="n"/>
    </row>
    <row r="27" ht="15" customHeight="1" s="323"/>
    <row r="28" ht="15" customHeight="1" s="323"/>
    <row r="29" ht="15" customHeight="1" s="323"/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7" zoomScale="85" workbookViewId="0">
      <selection activeCell="C30" sqref="C30"/>
    </sheetView>
  </sheetViews>
  <sheetFormatPr baseColWidth="8" defaultColWidth="9.109375" defaultRowHeight="15.6"/>
  <cols>
    <col width="9.109375" customWidth="1" style="325" min="1" max="1"/>
    <col width="12.6640625" customWidth="1" style="325" min="2" max="2"/>
    <col width="22.332031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3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3">
      <c r="A4" s="354" t="n"/>
      <c r="B4" s="354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59" t="inlineStr">
        <is>
          <t xml:space="preserve">Наименование разрабатываемого показателя УНЦ -  КЛ 220 кВ (с алюминиевой жилой) сечение жилы 1200 мм2. Кабель 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23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38" t="n"/>
    </row>
    <row r="9" ht="40.65" customHeight="1" s="323">
      <c r="A9" s="440" t="n"/>
      <c r="B9" s="440" t="n"/>
      <c r="C9" s="440" t="n"/>
      <c r="D9" s="440" t="n"/>
      <c r="E9" s="440" t="n"/>
      <c r="F9" s="440" t="n"/>
      <c r="G9" s="358" t="inlineStr">
        <is>
          <t>на ед.изм.</t>
        </is>
      </c>
      <c r="H9" s="358" t="inlineStr">
        <is>
          <t>общая</t>
        </is>
      </c>
    </row>
    <row r="10">
      <c r="A10" s="342" t="n">
        <v>1</v>
      </c>
      <c r="B10" s="342" t="n"/>
      <c r="C10" s="342" t="n">
        <v>2</v>
      </c>
      <c r="D10" s="342" t="inlineStr">
        <is>
          <t>З</t>
        </is>
      </c>
      <c r="E10" s="342" t="n">
        <v>4</v>
      </c>
      <c r="F10" s="342" t="n">
        <v>5</v>
      </c>
      <c r="G10" s="342" t="n">
        <v>6</v>
      </c>
      <c r="H10" s="342" t="n">
        <v>7</v>
      </c>
    </row>
    <row r="11" customFormat="1" s="224">
      <c r="A11" s="362" t="inlineStr">
        <is>
          <t>Затраты труда рабочих</t>
        </is>
      </c>
      <c r="B11" s="437" t="n"/>
      <c r="C11" s="437" t="n"/>
      <c r="D11" s="437" t="n"/>
      <c r="E11" s="438" t="n"/>
      <c r="F11" s="441">
        <f>SUM(F12:F12)</f>
        <v/>
      </c>
      <c r="G11" s="248" t="n"/>
      <c r="H11" s="442">
        <f>SUM(H12:H12)</f>
        <v/>
      </c>
    </row>
    <row r="12">
      <c r="A12" s="391" t="n">
        <v>1</v>
      </c>
      <c r="B12" s="227" t="n"/>
      <c r="C12" s="255" t="inlineStr">
        <is>
          <t>1-4-0</t>
        </is>
      </c>
      <c r="D12" s="259" t="inlineStr">
        <is>
          <t>Затраты труда рабочих (средний разряд работы 4)</t>
        </is>
      </c>
      <c r="E12" s="391" t="inlineStr">
        <is>
          <t>чел.-ч</t>
        </is>
      </c>
      <c r="F12" s="373" t="n">
        <v>1028.5</v>
      </c>
      <c r="G12" s="443" t="n">
        <v>9.619999999999999</v>
      </c>
      <c r="H12" s="270">
        <f>ROUND(F12*G12,2)</f>
        <v/>
      </c>
      <c r="M12" s="444" t="n"/>
    </row>
    <row r="13">
      <c r="A13" s="361" t="inlineStr">
        <is>
          <t>Затраты труда машинистов</t>
        </is>
      </c>
      <c r="B13" s="437" t="n"/>
      <c r="C13" s="437" t="n"/>
      <c r="D13" s="437" t="n"/>
      <c r="E13" s="438" t="n"/>
      <c r="F13" s="362" t="n"/>
      <c r="G13" s="225" t="n"/>
      <c r="H13" s="442">
        <f>H14</f>
        <v/>
      </c>
    </row>
    <row r="14">
      <c r="A14" s="391" t="n">
        <v>2</v>
      </c>
      <c r="B14" s="363" t="n"/>
      <c r="C14" s="258" t="n">
        <v>2</v>
      </c>
      <c r="D14" s="259" t="inlineStr">
        <is>
          <t>Затраты труда машинистов</t>
        </is>
      </c>
      <c r="E14" s="391" t="inlineStr">
        <is>
          <t>чел.-ч</t>
        </is>
      </c>
      <c r="F14" s="391" t="n">
        <v>75.5</v>
      </c>
      <c r="G14" s="244" t="n"/>
      <c r="H14" s="445" t="n">
        <v>887.7</v>
      </c>
    </row>
    <row r="15" customFormat="1" s="224">
      <c r="A15" s="362" t="inlineStr">
        <is>
          <t>Машины и механизмы</t>
        </is>
      </c>
      <c r="B15" s="437" t="n"/>
      <c r="C15" s="437" t="n"/>
      <c r="D15" s="437" t="n"/>
      <c r="E15" s="438" t="n"/>
      <c r="F15" s="362" t="n"/>
      <c r="G15" s="225" t="n"/>
      <c r="H15" s="442">
        <f>SUM(H16:H25)</f>
        <v/>
      </c>
    </row>
    <row r="16" ht="25.5" customHeight="1" s="323">
      <c r="A16" s="391" t="n">
        <v>3</v>
      </c>
      <c r="B16" s="363" t="n"/>
      <c r="C16" s="258" t="inlineStr">
        <is>
          <t>91.05.05-018</t>
        </is>
      </c>
      <c r="D16" s="259" t="inlineStr">
        <is>
          <t>Краны на автомобильном ходу, грузоподъемность 63 т</t>
        </is>
      </c>
      <c r="E16" s="391" t="inlineStr">
        <is>
          <t>маш.час</t>
        </is>
      </c>
      <c r="F16" s="391" t="n">
        <v>14.5</v>
      </c>
      <c r="G16" s="261" t="n">
        <v>823.23</v>
      </c>
      <c r="H16" s="270">
        <f>ROUND(F16*G16,2)</f>
        <v/>
      </c>
      <c r="I16" s="275" t="n"/>
      <c r="J16" s="275" t="n"/>
      <c r="L16" s="275" t="n"/>
    </row>
    <row r="17" ht="25.5" customFormat="1" customHeight="1" s="224">
      <c r="A17" s="391" t="n">
        <v>4</v>
      </c>
      <c r="B17" s="363" t="n"/>
      <c r="C17" s="258" t="inlineStr">
        <is>
          <t>91.06.03-012</t>
        </is>
      </c>
      <c r="D17" s="259" t="inlineStr">
        <is>
          <t>Лебедки-прицепы гидравлические для протяжки кабеля, тяговое усилие 10 т</t>
        </is>
      </c>
      <c r="E17" s="391" t="inlineStr">
        <is>
          <t>маш.час</t>
        </is>
      </c>
      <c r="F17" s="391" t="n">
        <v>25</v>
      </c>
      <c r="G17" s="261" t="n">
        <v>244.95</v>
      </c>
      <c r="H17" s="270">
        <f>ROUND(F17*G17,2)</f>
        <v/>
      </c>
      <c r="I17" s="275" t="n"/>
      <c r="J17" s="275" t="n"/>
      <c r="K17" s="276" t="n"/>
      <c r="L17" s="275" t="n"/>
    </row>
    <row r="18">
      <c r="A18" s="391" t="n">
        <v>5</v>
      </c>
      <c r="B18" s="363" t="n"/>
      <c r="C18" s="258" t="inlineStr">
        <is>
          <t>91.14.04-003</t>
        </is>
      </c>
      <c r="D18" s="259" t="inlineStr">
        <is>
          <t>Тягачи седельные, грузоподъемность 30 т</t>
        </is>
      </c>
      <c r="E18" s="391" t="inlineStr">
        <is>
          <t>маш.час</t>
        </is>
      </c>
      <c r="F18" s="391" t="n">
        <v>12</v>
      </c>
      <c r="G18" s="261" t="n">
        <v>120.31</v>
      </c>
      <c r="H18" s="270">
        <f>ROUND(F18*G18,2)</f>
        <v/>
      </c>
      <c r="I18" s="275" t="n"/>
      <c r="J18" s="275" t="n"/>
      <c r="L18" s="275" t="n"/>
    </row>
    <row r="19" ht="25.5" customHeight="1" s="323">
      <c r="A19" s="391" t="n">
        <v>6</v>
      </c>
      <c r="B19" s="363" t="n"/>
      <c r="C19" s="258" t="inlineStr">
        <is>
          <t>91.05.13-001</t>
        </is>
      </c>
      <c r="D19" s="259" t="inlineStr">
        <is>
          <t>Автомобили бортовые, грузоподъемность до 6 т, с краном-манипулятором-4,0 т</t>
        </is>
      </c>
      <c r="E19" s="391" t="inlineStr">
        <is>
          <t>маш.час</t>
        </is>
      </c>
      <c r="F19" s="391" t="n">
        <v>1.5</v>
      </c>
      <c r="G19" s="261" t="n">
        <v>288.03</v>
      </c>
      <c r="H19" s="270">
        <f>ROUND(F19*G19,2)</f>
        <v/>
      </c>
      <c r="I19" s="275" t="n"/>
      <c r="J19" s="275" t="n"/>
      <c r="L19" s="275" t="n"/>
    </row>
    <row r="20" ht="25.5" customHeight="1" s="323">
      <c r="A20" s="391" t="n">
        <v>7</v>
      </c>
      <c r="B20" s="363" t="n"/>
      <c r="C20" s="258" t="inlineStr">
        <is>
          <t>91.11.01-021</t>
        </is>
      </c>
      <c r="D20" s="259" t="inlineStr">
        <is>
          <t>Устройства подталкивающие для протяжки кабеля, тяговое усилие 800 кг</t>
        </is>
      </c>
      <c r="E20" s="391" t="inlineStr">
        <is>
          <t>маш.час</t>
        </is>
      </c>
      <c r="F20" s="391" t="n">
        <v>16.8</v>
      </c>
      <c r="G20" s="261" t="n">
        <v>25.37</v>
      </c>
      <c r="H20" s="270">
        <f>ROUND(F20*G20,2)</f>
        <v/>
      </c>
      <c r="I20" s="275" t="n"/>
      <c r="J20" s="275" t="n"/>
      <c r="L20" s="275" t="n"/>
    </row>
    <row r="21">
      <c r="A21" s="391" t="n">
        <v>8</v>
      </c>
      <c r="B21" s="363" t="n"/>
      <c r="C21" s="258" t="inlineStr">
        <is>
          <t>91.14.05-002</t>
        </is>
      </c>
      <c r="D21" s="259" t="inlineStr">
        <is>
          <t>Полуприцепы-тяжеловозы, грузоподъемность 40 т</t>
        </is>
      </c>
      <c r="E21" s="391" t="inlineStr">
        <is>
          <t>маш.час</t>
        </is>
      </c>
      <c r="F21" s="391" t="n">
        <v>12</v>
      </c>
      <c r="G21" s="261" t="n">
        <v>28.65</v>
      </c>
      <c r="H21" s="270">
        <f>ROUND(F21*G21,2)</f>
        <v/>
      </c>
      <c r="I21" s="275" t="n"/>
      <c r="J21" s="275" t="n"/>
      <c r="L21" s="275" t="n"/>
    </row>
    <row r="22">
      <c r="A22" s="391" t="n">
        <v>9</v>
      </c>
      <c r="B22" s="363" t="n"/>
      <c r="C22" s="258" t="inlineStr">
        <is>
          <t>91.16.01-002</t>
        </is>
      </c>
      <c r="D22" s="259" t="inlineStr">
        <is>
          <t>Электростанции передвижные, мощность 4 кВт</t>
        </is>
      </c>
      <c r="E22" s="391" t="inlineStr">
        <is>
          <t>маш.час</t>
        </is>
      </c>
      <c r="F22" s="391" t="n">
        <v>8</v>
      </c>
      <c r="G22" s="261" t="n">
        <v>27.11</v>
      </c>
      <c r="H22" s="270">
        <f>ROUND(F22*G22,2)</f>
        <v/>
      </c>
      <c r="I22" s="275" t="n"/>
      <c r="J22" s="275" t="n"/>
    </row>
    <row r="23">
      <c r="A23" s="391" t="n">
        <v>10</v>
      </c>
      <c r="B23" s="363" t="n"/>
      <c r="C23" s="258" t="inlineStr">
        <is>
          <t>91.17.04-091</t>
        </is>
      </c>
      <c r="D23" s="259" t="inlineStr">
        <is>
          <t>Горелки газовые инжекторные</t>
        </is>
      </c>
      <c r="E23" s="391" t="inlineStr">
        <is>
          <t>маш.час</t>
        </is>
      </c>
      <c r="F23" s="391" t="n">
        <v>8</v>
      </c>
      <c r="G23" s="261" t="n">
        <v>13.5</v>
      </c>
      <c r="H23" s="270">
        <f>ROUND(F23*G23,2)</f>
        <v/>
      </c>
      <c r="J23" s="275" t="n"/>
    </row>
    <row r="24">
      <c r="A24" s="391" t="n">
        <v>11</v>
      </c>
      <c r="B24" s="363" t="n"/>
      <c r="C24" s="258" t="inlineStr">
        <is>
          <t>91.21.15-022</t>
        </is>
      </c>
      <c r="D24" s="259" t="inlineStr">
        <is>
          <t>Пилы ленточные с поворотной пилорамой</t>
        </is>
      </c>
      <c r="E24" s="391" t="inlineStr">
        <is>
          <t>маш.час</t>
        </is>
      </c>
      <c r="F24" s="391" t="n">
        <v>8</v>
      </c>
      <c r="G24" s="261" t="n">
        <v>3.31</v>
      </c>
      <c r="H24" s="270">
        <f>ROUND(F24*G24,2)</f>
        <v/>
      </c>
      <c r="J24" s="275" t="n"/>
    </row>
    <row r="25" ht="26.4" customHeight="1" s="323">
      <c r="A25" s="391" t="n">
        <v>12</v>
      </c>
      <c r="B25" s="363" t="n"/>
      <c r="C25" s="258" t="inlineStr">
        <is>
          <t>91.06.01-002</t>
        </is>
      </c>
      <c r="D25" s="259" t="inlineStr">
        <is>
          <t>Домкраты гидравлические, грузоподъемность 6,3-25 т</t>
        </is>
      </c>
      <c r="E25" s="391" t="inlineStr">
        <is>
          <t>маш.час</t>
        </is>
      </c>
      <c r="F25" s="391" t="n">
        <v>40.8</v>
      </c>
      <c r="G25" s="261" t="n">
        <v>0.48</v>
      </c>
      <c r="H25" s="270">
        <f>ROUND(F25*G25,2)</f>
        <v/>
      </c>
      <c r="J25" s="275" t="n"/>
    </row>
    <row r="26">
      <c r="A26" s="362" t="inlineStr">
        <is>
          <t>Материалы</t>
        </is>
      </c>
      <c r="B26" s="437" t="n"/>
      <c r="C26" s="437" t="n"/>
      <c r="D26" s="437" t="n"/>
      <c r="E26" s="438" t="n"/>
      <c r="F26" s="362" t="n"/>
      <c r="G26" s="225" t="n"/>
      <c r="H26" s="442">
        <f>SUM(H27:H28)</f>
        <v/>
      </c>
    </row>
    <row r="27">
      <c r="A27" s="268" t="n">
        <v>13</v>
      </c>
      <c r="B27" s="268" t="n"/>
      <c r="C27" s="391" t="inlineStr">
        <is>
          <t>Прайс из СД ОП</t>
        </is>
      </c>
      <c r="D27" s="265" t="inlineStr">
        <is>
          <t>Кабель алюминиевый 220кВ 3х1200</t>
        </is>
      </c>
      <c r="E27" s="391">
        <f>'Прил.5 Расчет СМР и ОБ'!D41</f>
        <v/>
      </c>
      <c r="F27" s="391">
        <f>'Прил.5 Расчет СМР и ОБ'!E41</f>
        <v/>
      </c>
      <c r="G27" s="265" t="n">
        <v>1591953.58</v>
      </c>
      <c r="H27" s="270">
        <f>ROUND(F27*G27,2)</f>
        <v/>
      </c>
    </row>
    <row r="28">
      <c r="A28" s="268" t="n">
        <v>14</v>
      </c>
      <c r="B28" s="363" t="n"/>
      <c r="C28" s="258" t="inlineStr">
        <is>
          <t>01.3.02.09-0022</t>
        </is>
      </c>
      <c r="D28" s="259" t="inlineStr">
        <is>
          <t>Пропан-бутан смесь техническая</t>
        </is>
      </c>
      <c r="E28" s="391" t="inlineStr">
        <is>
          <t>кг</t>
        </is>
      </c>
      <c r="F28" s="391" t="n">
        <v>3.56</v>
      </c>
      <c r="G28" s="244" t="n">
        <v>6.09</v>
      </c>
      <c r="H28" s="270">
        <f>ROUND(F28*G28,2)</f>
        <v/>
      </c>
      <c r="I28" s="277" t="n"/>
      <c r="J28" s="275" t="n"/>
      <c r="K28" s="275" t="n"/>
    </row>
    <row r="31">
      <c r="B31" s="325" t="inlineStr">
        <is>
          <t>Составил ______________________     А.Р. Маркова</t>
        </is>
      </c>
    </row>
    <row r="32">
      <c r="B32" s="288" t="inlineStr">
        <is>
          <t xml:space="preserve">                         (подпись, инициалы, фамилия)</t>
        </is>
      </c>
    </row>
    <row r="34">
      <c r="B34" s="325" t="inlineStr">
        <is>
          <t>Проверил ______________________        А.В. Костянецкая</t>
        </is>
      </c>
    </row>
    <row r="35">
      <c r="B35" s="288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33203125" customWidth="1" style="323" min="6" max="6"/>
    <col width="14.33203125" customWidth="1" style="323" min="7" max="7"/>
    <col width="9.109375" customWidth="1" style="323" min="8" max="11"/>
    <col width="13.6640625" customWidth="1" style="323" min="12" max="12"/>
    <col width="9.109375" customWidth="1" style="323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6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5" t="inlineStr">
        <is>
          <t>Ресурсная модель</t>
        </is>
      </c>
    </row>
    <row r="6">
      <c r="B6" s="239" t="n"/>
      <c r="C6" s="299" t="n"/>
      <c r="D6" s="299" t="n"/>
      <c r="E6" s="299" t="n"/>
    </row>
    <row r="7" ht="25.5" customHeight="1" s="323">
      <c r="B7" s="365" t="inlineStr">
        <is>
          <t xml:space="preserve">Наименование разрабатываемого показателя УНЦ — КЛ 220 кВ (с алюминиевой жилой) сечение жилы 1200 мм2. Кабель </t>
        </is>
      </c>
    </row>
    <row r="8">
      <c r="B8" s="366" t="inlineStr">
        <is>
          <t>Единица измерения  — 1 км</t>
        </is>
      </c>
    </row>
    <row r="9">
      <c r="B9" s="239" t="n"/>
      <c r="C9" s="299" t="n"/>
      <c r="D9" s="299" t="n"/>
      <c r="E9" s="299" t="n"/>
    </row>
    <row r="10" ht="51" customHeight="1" s="323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1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1">
        <f>'Прил.5 Расчет СМР и ОБ'!J22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1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1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1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1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1">
        <f>'Прил.5 Расчет СМР и ОБ'!J44</f>
        <v/>
      </c>
      <c r="D17" s="233">
        <f>C17/$C$24</f>
        <v/>
      </c>
      <c r="E17" s="233">
        <f>C17/$C$40</f>
        <v/>
      </c>
      <c r="G17" s="446" t="n"/>
    </row>
    <row r="18">
      <c r="B18" s="231" t="inlineStr">
        <is>
          <t>МАТЕРИАЛЫ, ВСЕГО:</t>
        </is>
      </c>
      <c r="C18" s="301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1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1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ОБ'!D48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1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ОБ'!D47</f>
        <v/>
      </c>
      <c r="D23" s="233" t="n"/>
      <c r="E23" s="231" t="n"/>
    </row>
    <row r="24">
      <c r="B24" s="231" t="inlineStr">
        <is>
          <t>ВСЕГО СМР с НР и СП</t>
        </is>
      </c>
      <c r="C24" s="301">
        <f>C19+C20+C22</f>
        <v/>
      </c>
      <c r="D24" s="233">
        <f>C24/$C$24</f>
        <v/>
      </c>
      <c r="E24" s="233">
        <f>C24/$C$40</f>
        <v/>
      </c>
    </row>
    <row r="25" ht="25.5" customHeight="1" s="323">
      <c r="B25" s="231" t="inlineStr">
        <is>
          <t>ВСЕГО стоимость оборудования, в том числе</t>
        </is>
      </c>
      <c r="C25" s="301">
        <f>'Прил.5 Расчет СМР и ОБ'!J37</f>
        <v/>
      </c>
      <c r="D25" s="233" t="n"/>
      <c r="E25" s="233">
        <f>C25/$C$40</f>
        <v/>
      </c>
    </row>
    <row r="26" ht="25.5" customHeight="1" s="323">
      <c r="B26" s="231" t="inlineStr">
        <is>
          <t>стоимость оборудования технологического</t>
        </is>
      </c>
      <c r="C26" s="301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3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3" t="n">
        <v>0</v>
      </c>
      <c r="D31" s="231" t="n"/>
      <c r="E31" s="233">
        <f>C31/$C$40</f>
        <v/>
      </c>
    </row>
    <row r="32" ht="25.5" customHeight="1" s="323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3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77" t="n"/>
    </row>
    <row r="35" ht="76.65000000000001" customHeight="1" s="32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3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3">
      <c r="B38" s="231" t="inlineStr">
        <is>
          <t>ИТОГО (СМР+ОБОРУДОВАНИЕ+ПРОЧ. ЗАТР., УЧТЕННЫЕ ПОКАЗАТЕЛЕМ)</t>
        </is>
      </c>
      <c r="C38" s="301">
        <f>C27+C32+C33+C34+C35+C29+C31+C30+C36+C37</f>
        <v/>
      </c>
      <c r="D38" s="231" t="n"/>
      <c r="E38" s="233">
        <f>C38/$C$40</f>
        <v/>
      </c>
    </row>
    <row r="39" ht="13.65" customHeight="1" s="323">
      <c r="B39" s="231" t="inlineStr">
        <is>
          <t>Непредвиденные расходы</t>
        </is>
      </c>
      <c r="C39" s="301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1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1">
        <f>C40/'Прил.5 Расчет СМР и ОБ'!E51</f>
        <v/>
      </c>
      <c r="D41" s="231" t="n"/>
      <c r="E41" s="231" t="n"/>
    </row>
    <row r="42">
      <c r="B42" s="303" t="n"/>
      <c r="C42" s="299" t="n"/>
      <c r="D42" s="299" t="n"/>
      <c r="E42" s="299" t="n"/>
    </row>
    <row r="43">
      <c r="B43" s="303" t="inlineStr">
        <is>
          <t>Составил ____________________________ А.Р. Маркова</t>
        </is>
      </c>
      <c r="C43" s="299" t="n"/>
      <c r="D43" s="299" t="n"/>
      <c r="E43" s="299" t="n"/>
    </row>
    <row r="44">
      <c r="B44" s="303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303" t="n"/>
      <c r="C45" s="299" t="n"/>
      <c r="D45" s="299" t="n"/>
      <c r="E45" s="299" t="n"/>
    </row>
    <row r="46">
      <c r="B46" s="303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6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37" workbookViewId="0">
      <selection activeCell="B52" sqref="B52"/>
    </sheetView>
  </sheetViews>
  <sheetFormatPr baseColWidth="8" defaultColWidth="9.109375" defaultRowHeight="14.4" outlineLevelRow="1"/>
  <cols>
    <col width="5.6640625" customWidth="1" style="306" min="1" max="1"/>
    <col width="22.664062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33203125" customWidth="1" style="306" min="7" max="7"/>
    <col width="12.6640625" customWidth="1" style="306" min="8" max="8"/>
    <col width="13.88671875" customWidth="1" style="306" min="9" max="9"/>
    <col width="17.6640625" customWidth="1" style="306" min="10" max="10"/>
    <col width="10.88671875" customWidth="1" style="306" min="11" max="11"/>
    <col width="9.109375" customWidth="1" style="306" min="12" max="12"/>
    <col width="9.10937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81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299">
      <c r="A4" s="345" t="inlineStr">
        <is>
          <t>Расчет стоимости СМР и оборудования</t>
        </is>
      </c>
    </row>
    <row r="5" ht="12.75" customFormat="1" customHeight="1" s="299">
      <c r="A5" s="345" t="n"/>
      <c r="B5" s="345" t="n"/>
      <c r="C5" s="393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299">
      <c r="A6" s="207" t="inlineStr">
        <is>
          <t>Наименование разрабатываемого показателя УНЦ</t>
        </is>
      </c>
      <c r="B6" s="206" t="n"/>
      <c r="C6" s="206" t="n"/>
      <c r="D6" s="385" t="inlineStr">
        <is>
          <t xml:space="preserve">КЛ 220 кВ (с алюминиевой жилой) сечение жилы 1200 мм2. Кабель </t>
        </is>
      </c>
    </row>
    <row r="7" ht="12.75" customFormat="1" customHeight="1" s="299">
      <c r="A7" s="348" t="inlineStr">
        <is>
          <t>Единица измерения  — 1 км</t>
        </is>
      </c>
      <c r="I7" s="365" t="n"/>
      <c r="J7" s="365" t="n"/>
    </row>
    <row r="8" ht="13.65" customFormat="1" customHeight="1" s="299">
      <c r="A8" s="348" t="n"/>
    </row>
    <row r="9" ht="13.2" customFormat="1" customHeight="1" s="299"/>
    <row r="10" ht="27" customHeight="1" s="323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38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38" t="n"/>
      <c r="K10" s="306" t="n"/>
      <c r="L10" s="306" t="n"/>
      <c r="M10" s="306" t="n"/>
      <c r="N10" s="306" t="n"/>
    </row>
    <row r="11" ht="28.5" customHeight="1" s="323">
      <c r="A11" s="440" t="n"/>
      <c r="B11" s="440" t="n"/>
      <c r="C11" s="440" t="n"/>
      <c r="D11" s="440" t="n"/>
      <c r="E11" s="440" t="n"/>
      <c r="F11" s="373" t="inlineStr">
        <is>
          <t>на ед. изм.</t>
        </is>
      </c>
      <c r="G11" s="373" t="inlineStr">
        <is>
          <t>общая</t>
        </is>
      </c>
      <c r="H11" s="440" t="n"/>
      <c r="I11" s="373" t="inlineStr">
        <is>
          <t>на ед. изм.</t>
        </is>
      </c>
      <c r="J11" s="373" t="inlineStr">
        <is>
          <t>общая</t>
        </is>
      </c>
      <c r="K11" s="306" t="n"/>
      <c r="L11" s="306" t="n"/>
      <c r="M11" s="306" t="n"/>
      <c r="N11" s="306" t="n"/>
    </row>
    <row r="12" s="323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68" t="n">
        <v>9</v>
      </c>
      <c r="J12" s="368" t="n">
        <v>10</v>
      </c>
      <c r="K12" s="306" t="n"/>
      <c r="L12" s="306" t="n"/>
      <c r="M12" s="306" t="n"/>
      <c r="N12" s="306" t="n"/>
    </row>
    <row r="13">
      <c r="A13" s="373" t="n"/>
      <c r="B13" s="361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194" t="n"/>
      <c r="J13" s="194" t="n"/>
    </row>
    <row r="14" ht="25.5" customHeight="1" s="323">
      <c r="A14" s="373" t="n">
        <v>1</v>
      </c>
      <c r="B14" s="255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47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6">
      <c r="A15" s="373" t="n"/>
      <c r="B15" s="373" t="n"/>
      <c r="C15" s="361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47">
        <f>SUM(E14:E14)</f>
        <v/>
      </c>
      <c r="F15" s="201" t="n"/>
      <c r="G15" s="201">
        <f>SUM(G14:G14)</f>
        <v/>
      </c>
      <c r="H15" s="376" t="n">
        <v>1</v>
      </c>
      <c r="I15" s="194" t="n"/>
      <c r="J15" s="201">
        <f>SUM(J14:J14)</f>
        <v/>
      </c>
    </row>
    <row r="16" ht="14.25" customFormat="1" customHeight="1" s="306">
      <c r="A16" s="373" t="n"/>
      <c r="B16" s="372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194" t="n"/>
      <c r="J16" s="194" t="n"/>
    </row>
    <row r="17" ht="14.25" customFormat="1" customHeight="1" s="306">
      <c r="A17" s="373" t="n">
        <v>2</v>
      </c>
      <c r="B17" s="373" t="n">
        <v>2</v>
      </c>
      <c r="C17" s="372" t="inlineStr">
        <is>
          <t>Затраты труда машинистов</t>
        </is>
      </c>
      <c r="D17" s="373" t="inlineStr">
        <is>
          <t>чел.-ч.</t>
        </is>
      </c>
      <c r="E17" s="447" t="n">
        <v>75.5</v>
      </c>
      <c r="F17" s="201">
        <f>G17/E17</f>
        <v/>
      </c>
      <c r="G17" s="201">
        <f>'Прил. 3'!H13</f>
        <v/>
      </c>
      <c r="H17" s="376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6">
      <c r="A18" s="373" t="n"/>
      <c r="B18" s="361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194" t="n"/>
      <c r="J18" s="194" t="n"/>
    </row>
    <row r="19" ht="14.25" customFormat="1" customHeight="1" s="306">
      <c r="A19" s="373" t="n"/>
      <c r="B19" s="372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194" t="n"/>
      <c r="J19" s="194" t="n"/>
    </row>
    <row r="20" ht="25.5" customFormat="1" customHeight="1" s="306">
      <c r="A20" s="373" t="n">
        <v>3</v>
      </c>
      <c r="B20" s="258" t="inlineStr">
        <is>
          <t>91.05.05-018</t>
        </is>
      </c>
      <c r="C20" s="259" t="inlineStr">
        <is>
          <t>Краны на автомобильном ходу, грузоподъемность 63 т</t>
        </is>
      </c>
      <c r="D20" s="391" t="inlineStr">
        <is>
          <t>маш.час</t>
        </is>
      </c>
      <c r="E20" s="448" t="n">
        <v>14.5</v>
      </c>
      <c r="F20" s="261" t="n">
        <v>823.23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6">
      <c r="A21" s="373" t="n">
        <v>4</v>
      </c>
      <c r="B21" s="258" t="inlineStr">
        <is>
          <t>91.06.03-012</t>
        </is>
      </c>
      <c r="C21" s="259" t="inlineStr">
        <is>
          <t>Лебедки-прицепы гидравлические для протяжки кабеля, тяговое усилие 10 т</t>
        </is>
      </c>
      <c r="D21" s="391" t="inlineStr">
        <is>
          <t>маш.час</t>
        </is>
      </c>
      <c r="E21" s="448" t="n">
        <v>25</v>
      </c>
      <c r="F21" s="261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6">
      <c r="A22" s="373" t="n"/>
      <c r="B22" s="373" t="n"/>
      <c r="C22" s="372" t="inlineStr">
        <is>
          <t>Итого основные машины и механизмы</t>
        </is>
      </c>
      <c r="D22" s="373" t="n"/>
      <c r="E22" s="447" t="n"/>
      <c r="F22" s="201" t="n"/>
      <c r="G22" s="201">
        <f>SUM(G20:G21)</f>
        <v/>
      </c>
      <c r="H22" s="376">
        <f>G22/G32</f>
        <v/>
      </c>
      <c r="I22" s="195" t="n"/>
      <c r="J22" s="201">
        <f>SUM(J20:J21)</f>
        <v/>
      </c>
    </row>
    <row r="23" outlineLevel="1" ht="14.25" customFormat="1" customHeight="1" s="306">
      <c r="A23" s="373" t="n">
        <v>5</v>
      </c>
      <c r="B23" s="258" t="inlineStr">
        <is>
          <t>91.14.04-003</t>
        </is>
      </c>
      <c r="C23" s="259" t="inlineStr">
        <is>
          <t>Тягачи седельные, грузоподъемность 30 т</t>
        </is>
      </c>
      <c r="D23" s="391" t="inlineStr">
        <is>
          <t>маш.час</t>
        </is>
      </c>
      <c r="E23" s="448" t="n">
        <v>12</v>
      </c>
      <c r="F23" s="261" t="n">
        <v>120.31</v>
      </c>
      <c r="G23" s="201">
        <f>ROUND(E23*F23,2)</f>
        <v/>
      </c>
      <c r="H23" s="203">
        <f>G23/$G$32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06">
      <c r="A24" s="373" t="n">
        <v>6</v>
      </c>
      <c r="B24" s="258" t="inlineStr">
        <is>
          <t>91.05.13-001</t>
        </is>
      </c>
      <c r="C24" s="259" t="inlineStr">
        <is>
          <t>Автомобили бортовые, грузоподъемность до 6 т, с краном-манипулятором-4,0 т</t>
        </is>
      </c>
      <c r="D24" s="391" t="inlineStr">
        <is>
          <t>маш.час</t>
        </is>
      </c>
      <c r="E24" s="448" t="n">
        <v>1.5</v>
      </c>
      <c r="F24" s="261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06">
      <c r="A25" s="373" t="n">
        <v>7</v>
      </c>
      <c r="B25" s="258" t="inlineStr">
        <is>
          <t>91.11.01-021</t>
        </is>
      </c>
      <c r="C25" s="259" t="inlineStr">
        <is>
          <t>Устройства подталкивающие для протяжки кабеля, тяговое усилие 800 кг</t>
        </is>
      </c>
      <c r="D25" s="391" t="inlineStr">
        <is>
          <t>маш.час</t>
        </is>
      </c>
      <c r="E25" s="448" t="n">
        <v>16.8</v>
      </c>
      <c r="F25" s="261" t="n">
        <v>25.37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06">
      <c r="A26" s="373" t="n">
        <v>8</v>
      </c>
      <c r="B26" s="258" t="inlineStr">
        <is>
          <t>91.14.05-002</t>
        </is>
      </c>
      <c r="C26" s="259" t="inlineStr">
        <is>
          <t>Полуприцепы-тяжеловозы, грузоподъемность 40 т</t>
        </is>
      </c>
      <c r="D26" s="391" t="inlineStr">
        <is>
          <t>маш.час</t>
        </is>
      </c>
      <c r="E26" s="448" t="n">
        <v>12</v>
      </c>
      <c r="F26" s="261" t="n">
        <v>28.65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06">
      <c r="A27" s="373" t="n">
        <v>9</v>
      </c>
      <c r="B27" s="258" t="inlineStr">
        <is>
          <t>91.16.01-002</t>
        </is>
      </c>
      <c r="C27" s="259" t="inlineStr">
        <is>
          <t>Электростанции передвижные, мощность 4 кВт</t>
        </is>
      </c>
      <c r="D27" s="391" t="inlineStr">
        <is>
          <t>маш.час</t>
        </is>
      </c>
      <c r="E27" s="448" t="n">
        <v>8</v>
      </c>
      <c r="F27" s="261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06">
      <c r="A28" s="373" t="n">
        <v>10</v>
      </c>
      <c r="B28" s="258" t="inlineStr">
        <is>
          <t>91.17.04-091</t>
        </is>
      </c>
      <c r="C28" s="259" t="inlineStr">
        <is>
          <t>Горелки газовые инжекторные</t>
        </is>
      </c>
      <c r="D28" s="391" t="inlineStr">
        <is>
          <t>маш.час</t>
        </is>
      </c>
      <c r="E28" s="448" t="n">
        <v>8</v>
      </c>
      <c r="F28" s="261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14.25" customFormat="1" customHeight="1" s="306">
      <c r="A29" s="373" t="n">
        <v>11</v>
      </c>
      <c r="B29" s="258" t="inlineStr">
        <is>
          <t>91.21.15-022</t>
        </is>
      </c>
      <c r="C29" s="259" t="inlineStr">
        <is>
          <t>Пилы ленточные с поворотной пилорамой</t>
        </is>
      </c>
      <c r="D29" s="391" t="inlineStr">
        <is>
          <t>маш.час</t>
        </is>
      </c>
      <c r="E29" s="448" t="n">
        <v>8</v>
      </c>
      <c r="F29" s="261" t="n">
        <v>3.31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25.5" customFormat="1" customHeight="1" s="306">
      <c r="A30" s="373" t="n">
        <v>12</v>
      </c>
      <c r="B30" s="258" t="inlineStr">
        <is>
          <t>91.06.01-002</t>
        </is>
      </c>
      <c r="C30" s="259" t="inlineStr">
        <is>
          <t>Домкраты гидравлические, грузоподъемность 6,3-25 т</t>
        </is>
      </c>
      <c r="D30" s="391" t="inlineStr">
        <is>
          <t>маш.час</t>
        </is>
      </c>
      <c r="E30" s="448" t="n">
        <v>40.8</v>
      </c>
      <c r="F30" s="261" t="n">
        <v>0.48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06">
      <c r="A31" s="373" t="n"/>
      <c r="B31" s="373" t="n"/>
      <c r="C31" s="372" t="inlineStr">
        <is>
          <t>Итого прочие машины и механизмы</t>
        </is>
      </c>
      <c r="D31" s="373" t="n"/>
      <c r="E31" s="374" t="n"/>
      <c r="F31" s="201" t="n"/>
      <c r="G31" s="195">
        <f>SUM(G23:G30)</f>
        <v/>
      </c>
      <c r="H31" s="203">
        <f>G31/G32</f>
        <v/>
      </c>
      <c r="I31" s="201" t="n"/>
      <c r="J31" s="201">
        <f>SUM(J23:J30)</f>
        <v/>
      </c>
    </row>
    <row r="32" ht="25.5" customFormat="1" customHeight="1" s="306">
      <c r="A32" s="373" t="n"/>
      <c r="B32" s="373" t="n"/>
      <c r="C32" s="361" t="inlineStr">
        <is>
          <t>Итого по разделу «Машины и механизмы»</t>
        </is>
      </c>
      <c r="D32" s="373" t="n"/>
      <c r="E32" s="374" t="n"/>
      <c r="F32" s="201" t="n"/>
      <c r="G32" s="201">
        <f>G31+G22</f>
        <v/>
      </c>
      <c r="H32" s="188" t="n">
        <v>1</v>
      </c>
      <c r="I32" s="189" t="n"/>
      <c r="J32" s="215">
        <f>J31+J22</f>
        <v/>
      </c>
    </row>
    <row r="33" ht="14.25" customFormat="1" customHeight="1" s="306">
      <c r="A33" s="373" t="n"/>
      <c r="B33" s="361" t="inlineStr">
        <is>
          <t>Оборудование</t>
        </is>
      </c>
      <c r="C33" s="437" t="n"/>
      <c r="D33" s="437" t="n"/>
      <c r="E33" s="437" t="n"/>
      <c r="F33" s="437" t="n"/>
      <c r="G33" s="437" t="n"/>
      <c r="H33" s="438" t="n"/>
      <c r="I33" s="194" t="n"/>
      <c r="J33" s="194" t="n"/>
    </row>
    <row r="34">
      <c r="A34" s="373" t="n"/>
      <c r="B34" s="372" t="inlineStr">
        <is>
          <t>Основное оборудование</t>
        </is>
      </c>
      <c r="C34" s="437" t="n"/>
      <c r="D34" s="437" t="n"/>
      <c r="E34" s="437" t="n"/>
      <c r="F34" s="437" t="n"/>
      <c r="G34" s="437" t="n"/>
      <c r="H34" s="438" t="n"/>
      <c r="I34" s="194" t="n"/>
      <c r="J34" s="194" t="n"/>
      <c r="K34" s="306" t="n"/>
      <c r="L34" s="306" t="n"/>
    </row>
    <row r="35">
      <c r="A35" s="373" t="n"/>
      <c r="B35" s="373" t="n"/>
      <c r="C35" s="372" t="inlineStr">
        <is>
          <t>Итого основное оборудование</t>
        </is>
      </c>
      <c r="D35" s="373" t="n"/>
      <c r="E35" s="449" t="n"/>
      <c r="F35" s="375" t="n"/>
      <c r="G35" s="201" t="n">
        <v>0</v>
      </c>
      <c r="H35" s="203" t="n">
        <v>0</v>
      </c>
      <c r="I35" s="195" t="n"/>
      <c r="J35" s="201" t="n">
        <v>0</v>
      </c>
      <c r="K35" s="306" t="n"/>
      <c r="L35" s="306" t="n"/>
    </row>
    <row r="36">
      <c r="A36" s="373" t="n"/>
      <c r="B36" s="373" t="n"/>
      <c r="C36" s="372" t="inlineStr">
        <is>
          <t>Итого прочее оборудование</t>
        </is>
      </c>
      <c r="D36" s="373" t="n"/>
      <c r="E36" s="447" t="n"/>
      <c r="F36" s="375" t="n"/>
      <c r="G36" s="201" t="n">
        <v>0</v>
      </c>
      <c r="H36" s="203" t="n">
        <v>0</v>
      </c>
      <c r="I36" s="195" t="n"/>
      <c r="J36" s="201" t="n">
        <v>0</v>
      </c>
      <c r="K36" s="306" t="n"/>
      <c r="L36" s="306" t="n"/>
    </row>
    <row r="37">
      <c r="A37" s="373" t="n"/>
      <c r="B37" s="373" t="n"/>
      <c r="C37" s="361" t="inlineStr">
        <is>
          <t>Итого по разделу «Оборудование»</t>
        </is>
      </c>
      <c r="D37" s="373" t="n"/>
      <c r="E37" s="374" t="n"/>
      <c r="F37" s="375" t="n"/>
      <c r="G37" s="201">
        <f>G35+G36</f>
        <v/>
      </c>
      <c r="H37" s="203" t="n">
        <v>0</v>
      </c>
      <c r="I37" s="195" t="n"/>
      <c r="J37" s="201">
        <f>J36+J35</f>
        <v/>
      </c>
      <c r="K37" s="306" t="n"/>
      <c r="L37" s="306" t="n"/>
    </row>
    <row r="38" ht="25.5" customHeight="1" s="323">
      <c r="A38" s="373" t="n"/>
      <c r="B38" s="373" t="n"/>
      <c r="C38" s="372" t="inlineStr">
        <is>
          <t>в том числе технологическое оборудование</t>
        </is>
      </c>
      <c r="D38" s="373" t="n"/>
      <c r="E38" s="449" t="n"/>
      <c r="F38" s="375" t="n"/>
      <c r="G38" s="201">
        <f>'Прил.6 Расчет ОБ'!G12</f>
        <v/>
      </c>
      <c r="H38" s="376" t="n"/>
      <c r="I38" s="195" t="n"/>
      <c r="J38" s="201">
        <f>J37</f>
        <v/>
      </c>
      <c r="K38" s="306" t="n"/>
      <c r="L38" s="306" t="n"/>
    </row>
    <row r="39" ht="14.25" customFormat="1" customHeight="1" s="306">
      <c r="A39" s="373" t="n"/>
      <c r="B39" s="361" t="inlineStr">
        <is>
          <t>Материалы</t>
        </is>
      </c>
      <c r="C39" s="437" t="n"/>
      <c r="D39" s="437" t="n"/>
      <c r="E39" s="437" t="n"/>
      <c r="F39" s="437" t="n"/>
      <c r="G39" s="437" t="n"/>
      <c r="H39" s="438" t="n"/>
      <c r="I39" s="194" t="n"/>
      <c r="J39" s="194" t="n"/>
    </row>
    <row r="40" ht="14.25" customFormat="1" customHeight="1" s="306">
      <c r="A40" s="368" t="n"/>
      <c r="B40" s="367" t="inlineStr">
        <is>
          <t>Основные материалы</t>
        </is>
      </c>
      <c r="C40" s="450" t="n"/>
      <c r="D40" s="450" t="n"/>
      <c r="E40" s="450" t="n"/>
      <c r="F40" s="450" t="n"/>
      <c r="G40" s="450" t="n"/>
      <c r="H40" s="451" t="n"/>
      <c r="I40" s="209" t="n"/>
      <c r="J40" s="209" t="n"/>
    </row>
    <row r="41" ht="14.25" customFormat="1" customHeight="1" s="306">
      <c r="A41" s="373" t="n">
        <v>13</v>
      </c>
      <c r="B41" s="373" t="inlineStr">
        <is>
          <t>БЦ.81.619</t>
        </is>
      </c>
      <c r="C41" s="259" t="inlineStr">
        <is>
          <t>Кабель алюминиевый 220кВ 3х1200</t>
        </is>
      </c>
      <c r="D41" s="373" t="inlineStr">
        <is>
          <t>км</t>
        </is>
      </c>
      <c r="E41" s="449">
        <f>1*3.3</f>
        <v/>
      </c>
      <c r="F41" s="375">
        <f>ROUND(I41/'Прил. 10'!$D$13,2)</f>
        <v/>
      </c>
      <c r="G41" s="201">
        <f>ROUND(E41*F41,2)</f>
        <v/>
      </c>
      <c r="H41" s="203">
        <f>G41/$G$45</f>
        <v/>
      </c>
      <c r="I41" s="201" t="n">
        <v>8241363.46</v>
      </c>
      <c r="J41" s="201">
        <f>ROUND(I41*E41,2)</f>
        <v/>
      </c>
    </row>
    <row r="42" ht="14.25" customFormat="1" customHeight="1" s="306">
      <c r="A42" s="384" t="n"/>
      <c r="B42" s="211" t="n"/>
      <c r="C42" s="212" t="inlineStr">
        <is>
          <t>Итого основные материалы</t>
        </is>
      </c>
      <c r="D42" s="384" t="n"/>
      <c r="E42" s="452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06">
      <c r="A43" s="373" t="n">
        <v>14</v>
      </c>
      <c r="B43" s="258" t="inlineStr">
        <is>
          <t>01.3.02.09-0022</t>
        </is>
      </c>
      <c r="C43" s="259" t="inlineStr">
        <is>
          <t>Пропан-бутан смесь техническая</t>
        </is>
      </c>
      <c r="D43" s="391" t="inlineStr">
        <is>
          <t>кг</t>
        </is>
      </c>
      <c r="E43" s="448" t="n">
        <v>3.56</v>
      </c>
      <c r="F43" s="244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06">
      <c r="A44" s="373" t="n"/>
      <c r="B44" s="373" t="n"/>
      <c r="C44" s="372" t="inlineStr">
        <is>
          <t>Итого прочие материалы</t>
        </is>
      </c>
      <c r="D44" s="373" t="n"/>
      <c r="E44" s="449" t="n"/>
      <c r="F44" s="375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06">
      <c r="A45" s="373" t="n"/>
      <c r="B45" s="373" t="n"/>
      <c r="C45" s="361" t="inlineStr">
        <is>
          <t>Итого по разделу «Материалы»</t>
        </is>
      </c>
      <c r="D45" s="373" t="n"/>
      <c r="E45" s="374" t="n"/>
      <c r="F45" s="375" t="n"/>
      <c r="G45" s="201">
        <f>G42+G44</f>
        <v/>
      </c>
      <c r="H45" s="376">
        <f>G45/$G$45</f>
        <v/>
      </c>
      <c r="I45" s="201" t="n"/>
      <c r="J45" s="201">
        <f>J42+J44</f>
        <v/>
      </c>
    </row>
    <row r="46" ht="14.25" customFormat="1" customHeight="1" s="306">
      <c r="A46" s="373" t="n"/>
      <c r="B46" s="373" t="n"/>
      <c r="C46" s="372" t="inlineStr">
        <is>
          <t>ИТОГО ПО РМ</t>
        </is>
      </c>
      <c r="D46" s="373" t="n"/>
      <c r="E46" s="374" t="n"/>
      <c r="F46" s="375" t="n"/>
      <c r="G46" s="201">
        <f>G15+G32+G45</f>
        <v/>
      </c>
      <c r="H46" s="376" t="n"/>
      <c r="I46" s="201" t="n"/>
      <c r="J46" s="201">
        <f>J15+J32+J45</f>
        <v/>
      </c>
    </row>
    <row r="47" ht="14.25" customFormat="1" customHeight="1" s="306">
      <c r="A47" s="373" t="n"/>
      <c r="B47" s="373" t="n"/>
      <c r="C47" s="372" t="inlineStr">
        <is>
          <t>Накладные расходы</t>
        </is>
      </c>
      <c r="D47" s="197">
        <f>ROUND(G47/(G$17+$G$15),2)</f>
        <v/>
      </c>
      <c r="E47" s="374" t="n"/>
      <c r="F47" s="375" t="n"/>
      <c r="G47" s="201" t="n">
        <v>10458.44</v>
      </c>
      <c r="H47" s="376" t="n"/>
      <c r="I47" s="201" t="n"/>
      <c r="J47" s="201">
        <f>ROUND(D47*(J15+J17),2)</f>
        <v/>
      </c>
    </row>
    <row r="48" ht="14.25" customFormat="1" customHeight="1" s="306">
      <c r="A48" s="373" t="n"/>
      <c r="B48" s="373" t="n"/>
      <c r="C48" s="372" t="inlineStr">
        <is>
          <t>Сметная прибыль</t>
        </is>
      </c>
      <c r="D48" s="197">
        <f>ROUND(G48/(G$15+G$17),2)</f>
        <v/>
      </c>
      <c r="E48" s="374" t="n"/>
      <c r="F48" s="375" t="n"/>
      <c r="G48" s="201" t="n">
        <v>5498.77</v>
      </c>
      <c r="H48" s="376" t="n"/>
      <c r="I48" s="201" t="n"/>
      <c r="J48" s="201">
        <f>ROUND(D48*(J15+J17),2)</f>
        <v/>
      </c>
    </row>
    <row r="49" ht="14.25" customFormat="1" customHeight="1" s="306">
      <c r="A49" s="373" t="n"/>
      <c r="B49" s="373" t="n"/>
      <c r="C49" s="372" t="inlineStr">
        <is>
          <t>Итого СМР (с НР и СП)</t>
        </is>
      </c>
      <c r="D49" s="373" t="n"/>
      <c r="E49" s="374" t="n"/>
      <c r="F49" s="375" t="n"/>
      <c r="G49" s="201">
        <f>G15+G32+G45+G47+G48</f>
        <v/>
      </c>
      <c r="H49" s="376" t="n"/>
      <c r="I49" s="201" t="n"/>
      <c r="J49" s="201">
        <f>J15+J32+J45+J47+J48</f>
        <v/>
      </c>
    </row>
    <row r="50" ht="14.25" customFormat="1" customHeight="1" s="306">
      <c r="A50" s="373" t="n"/>
      <c r="B50" s="373" t="n"/>
      <c r="C50" s="372" t="inlineStr">
        <is>
          <t>ВСЕГО СМР + ОБОРУДОВАНИЕ</t>
        </is>
      </c>
      <c r="D50" s="373" t="n"/>
      <c r="E50" s="374" t="n"/>
      <c r="F50" s="375" t="n"/>
      <c r="G50" s="201">
        <f>G49+G37</f>
        <v/>
      </c>
      <c r="H50" s="376" t="n"/>
      <c r="I50" s="201" t="n"/>
      <c r="J50" s="201">
        <f>J49+J37</f>
        <v/>
      </c>
    </row>
    <row r="51" ht="34.5" customFormat="1" customHeight="1" s="306">
      <c r="A51" s="373" t="n"/>
      <c r="B51" s="373" t="n"/>
      <c r="C51" s="372" t="inlineStr">
        <is>
          <t>ИТОГО ПОКАЗАТЕЛЬ НА ЕД. ИЗМ.</t>
        </is>
      </c>
      <c r="D51" s="373" t="inlineStr">
        <is>
          <t>1 км</t>
        </is>
      </c>
      <c r="E51" s="449" t="n">
        <v>1</v>
      </c>
      <c r="F51" s="375" t="n"/>
      <c r="G51" s="201">
        <f>G50/E51</f>
        <v/>
      </c>
      <c r="H51" s="376" t="n"/>
      <c r="I51" s="201" t="n"/>
      <c r="J51" s="201">
        <f>J50/E51</f>
        <v/>
      </c>
    </row>
    <row r="53" ht="14.25" customFormat="1" customHeight="1" s="306">
      <c r="A53" s="299" t="inlineStr">
        <is>
          <t>Составил ______________________    А.Р. Маркова</t>
        </is>
      </c>
    </row>
    <row r="54" ht="14.25" customFormat="1" customHeight="1" s="306">
      <c r="A54" s="307" t="inlineStr">
        <is>
          <t xml:space="preserve">                         (подпись, инициалы, фамилия)</t>
        </is>
      </c>
    </row>
    <row r="55" ht="14.25" customFormat="1" customHeight="1" s="306">
      <c r="A55" s="299" t="n"/>
    </row>
    <row r="56" ht="14.25" customFormat="1" customHeight="1" s="306">
      <c r="A56" s="299" t="inlineStr">
        <is>
          <t>Проверил ______________________        А.В. Костянецкая</t>
        </is>
      </c>
    </row>
    <row r="57" ht="14.25" customFormat="1" customHeight="1" s="306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23" min="1" max="1"/>
    <col width="17.664062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6" t="inlineStr">
        <is>
          <t>Приложение №6</t>
        </is>
      </c>
    </row>
    <row r="2" ht="21.75" customHeight="1" s="323">
      <c r="A2" s="386" t="n"/>
      <c r="B2" s="386" t="n"/>
      <c r="C2" s="386" t="n"/>
      <c r="D2" s="386" t="n"/>
      <c r="E2" s="386" t="n"/>
      <c r="F2" s="386" t="n"/>
      <c r="G2" s="386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 xml:space="preserve">Наименование разрабатываемого показателя УНЦ — КЛ 220 кВ (с алюминиевой жилой) сечение жилы 1200 мм2. Кабель 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.15" customHeight="1" s="323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3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3">
      <c r="A9" s="231" t="n"/>
      <c r="B9" s="372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3">
      <c r="A10" s="373" t="n"/>
      <c r="B10" s="361" t="n"/>
      <c r="C10" s="372" t="inlineStr">
        <is>
          <t>ИТОГО ИНЖЕНЕРНОЕ ОБОРУДОВАНИЕ</t>
        </is>
      </c>
      <c r="D10" s="361" t="n"/>
      <c r="E10" s="142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3">
      <c r="A12" s="373" t="n"/>
      <c r="B12" s="372" t="n"/>
      <c r="C12" s="372" t="inlineStr">
        <is>
          <t>ИТОГО ТЕХНОЛОГИЧЕСКОЕ ОБОРУДОВАНИЕ</t>
        </is>
      </c>
      <c r="D12" s="372" t="n"/>
      <c r="E12" s="390" t="n"/>
      <c r="F12" s="375" t="n"/>
      <c r="G12" s="201" t="n">
        <v>0</v>
      </c>
    </row>
    <row r="13" ht="19.5" customHeight="1" s="323">
      <c r="A13" s="373" t="n"/>
      <c r="B13" s="372" t="n"/>
      <c r="C13" s="372" t="inlineStr">
        <is>
          <t>Всего по разделу «Оборудование»</t>
        </is>
      </c>
      <c r="D13" s="372" t="n"/>
      <c r="E13" s="390" t="n"/>
      <c r="F13" s="375" t="n"/>
      <c r="G13" s="201">
        <f>G10+G12</f>
        <v/>
      </c>
    </row>
    <row r="14">
      <c r="A14" s="304" t="n"/>
      <c r="B14" s="305" t="n"/>
      <c r="C14" s="304" t="n"/>
      <c r="D14" s="304" t="n"/>
      <c r="E14" s="304" t="n"/>
      <c r="F14" s="304" t="n"/>
      <c r="G14" s="304" t="n"/>
    </row>
    <row r="15">
      <c r="A15" s="299" t="inlineStr">
        <is>
          <t>Составил ______________________    А.Р. Маркова</t>
        </is>
      </c>
      <c r="B15" s="306" t="n"/>
      <c r="C15" s="306" t="n"/>
      <c r="D15" s="304" t="n"/>
      <c r="E15" s="304" t="n"/>
      <c r="F15" s="304" t="n"/>
      <c r="G15" s="304" t="n"/>
    </row>
    <row r="16">
      <c r="A16" s="307" t="inlineStr">
        <is>
          <t xml:space="preserve">                         (подпись, инициалы, фамилия)</t>
        </is>
      </c>
      <c r="B16" s="306" t="n"/>
      <c r="C16" s="306" t="n"/>
      <c r="D16" s="304" t="n"/>
      <c r="E16" s="304" t="n"/>
      <c r="F16" s="304" t="n"/>
      <c r="G16" s="304" t="n"/>
    </row>
    <row r="17">
      <c r="A17" s="299" t="n"/>
      <c r="B17" s="306" t="n"/>
      <c r="C17" s="306" t="n"/>
      <c r="D17" s="304" t="n"/>
      <c r="E17" s="304" t="n"/>
      <c r="F17" s="304" t="n"/>
      <c r="G17" s="304" t="n"/>
    </row>
    <row r="18">
      <c r="A18" s="299" t="inlineStr">
        <is>
          <t>Проверил ______________________        А.В. Костянецкая</t>
        </is>
      </c>
      <c r="B18" s="306" t="n"/>
      <c r="C18" s="306" t="n"/>
      <c r="D18" s="304" t="n"/>
      <c r="E18" s="304" t="n"/>
      <c r="F18" s="304" t="n"/>
      <c r="G18" s="304" t="n"/>
    </row>
    <row r="19">
      <c r="A19" s="307" t="inlineStr">
        <is>
          <t xml:space="preserve">                        (подпись, инициалы, фамилия)</t>
        </is>
      </c>
      <c r="B19" s="306" t="n"/>
      <c r="C19" s="306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323" min="1" max="1"/>
    <col width="29.6640625" customWidth="1" style="323" min="2" max="2"/>
    <col width="39.109375" customWidth="1" style="323" min="3" max="3"/>
    <col width="48.109375" customWidth="1" style="323" min="4" max="4"/>
    <col width="8.88671875" customWidth="1" style="323" min="5" max="5"/>
  </cols>
  <sheetData>
    <row r="1">
      <c r="B1" s="299" t="n"/>
      <c r="C1" s="299" t="n"/>
      <c r="D1" s="386" t="inlineStr">
        <is>
          <t>Приложение №7</t>
        </is>
      </c>
    </row>
    <row r="2" ht="25.95" customHeight="1" s="323">
      <c r="A2" s="386" t="n"/>
      <c r="B2" s="386" t="n"/>
      <c r="C2" s="386" t="n"/>
      <c r="D2" s="386" t="n"/>
    </row>
    <row r="3" ht="24.75" customHeight="1" s="323">
      <c r="A3" s="345" t="inlineStr">
        <is>
          <t>Расчет показателя УНЦ</t>
        </is>
      </c>
    </row>
    <row r="4" ht="24.75" customHeight="1" s="323">
      <c r="A4" s="345" t="n"/>
      <c r="B4" s="345" t="n"/>
      <c r="C4" s="345" t="n"/>
      <c r="D4" s="345" t="n"/>
    </row>
    <row r="5" ht="24.6" customHeight="1" s="323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 ht="19.95" customHeight="1" s="323">
      <c r="A6" s="348" t="inlineStr">
        <is>
          <t>Единица измерения  — 1 км</t>
        </is>
      </c>
      <c r="D6" s="348" t="n"/>
    </row>
    <row r="7">
      <c r="A7" s="299" t="n"/>
      <c r="B7" s="299" t="n"/>
      <c r="C7" s="299" t="n"/>
      <c r="D7" s="299" t="n"/>
    </row>
    <row r="8" ht="14.4" customHeight="1" s="323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 ht="15" customHeight="1" s="323">
      <c r="A9" s="440" t="n"/>
      <c r="B9" s="440" t="n"/>
      <c r="C9" s="440" t="n"/>
      <c r="D9" s="440" t="n"/>
    </row>
    <row r="10">
      <c r="A10" s="373" t="n">
        <v>1</v>
      </c>
      <c r="B10" s="373" t="n">
        <v>2</v>
      </c>
      <c r="C10" s="373" t="n">
        <v>3</v>
      </c>
      <c r="D10" s="373" t="n">
        <v>4</v>
      </c>
    </row>
    <row r="11" ht="41.4" customHeight="1" s="323">
      <c r="A11" s="373" t="inlineStr">
        <is>
          <t>К1-15-6</t>
        </is>
      </c>
      <c r="B11" s="373" t="inlineStr">
        <is>
          <t>УНЦ КЛ 6-500 кВ (с алюминиевой жилой)</t>
        </is>
      </c>
      <c r="C11" s="301">
        <f>D5</f>
        <v/>
      </c>
      <c r="D11" s="302">
        <f>'Прил.4 РМ'!C41/1000</f>
        <v/>
      </c>
      <c r="E11" s="303" t="n"/>
    </row>
    <row r="12">
      <c r="A12" s="304" t="n"/>
      <c r="B12" s="305" t="n"/>
      <c r="C12" s="304" t="n"/>
      <c r="D12" s="304" t="n"/>
    </row>
    <row r="13">
      <c r="A13" s="299" t="inlineStr">
        <is>
          <t>Составил ______________________      А.Р. Маркова</t>
        </is>
      </c>
      <c r="B13" s="306" t="n"/>
      <c r="C13" s="306" t="n"/>
      <c r="D13" s="304" t="n"/>
    </row>
    <row r="14">
      <c r="A14" s="307" t="inlineStr">
        <is>
          <t xml:space="preserve">                         (подпись, инициалы, фамилия)</t>
        </is>
      </c>
      <c r="B14" s="306" t="n"/>
      <c r="C14" s="306" t="n"/>
      <c r="D14" s="304" t="n"/>
    </row>
    <row r="15">
      <c r="A15" s="299" t="n"/>
      <c r="B15" s="306" t="n"/>
      <c r="C15" s="306" t="n"/>
      <c r="D15" s="304" t="n"/>
    </row>
    <row r="16">
      <c r="A16" s="299" t="inlineStr">
        <is>
          <t>Проверил ______________________        А.В. Костянецкая</t>
        </is>
      </c>
      <c r="B16" s="306" t="n"/>
      <c r="C16" s="306" t="n"/>
      <c r="D16" s="304" t="n"/>
    </row>
    <row r="17">
      <c r="A17" s="307" t="inlineStr">
        <is>
          <t xml:space="preserve">                        (подпись, инициалы, фамилия)</t>
        </is>
      </c>
      <c r="B17" s="306" t="n"/>
      <c r="C17" s="306" t="n"/>
      <c r="D17" s="3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16" sqref="D16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3" t="inlineStr">
        <is>
          <t>Приложение № 10</t>
        </is>
      </c>
    </row>
    <row r="5" ht="18.75" customHeight="1" s="323">
      <c r="B5" s="166" t="n"/>
    </row>
    <row r="6" ht="15.75" customHeight="1" s="323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23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3">
      <c r="B10" s="358" t="n">
        <v>1</v>
      </c>
      <c r="C10" s="358" t="n">
        <v>2</v>
      </c>
      <c r="D10" s="358" t="n">
        <v>3</v>
      </c>
    </row>
    <row r="11" ht="45" customHeight="1" s="323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3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3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3">
      <c r="B14" s="358" t="inlineStr">
        <is>
          <t>Индекс изменения сметной стоимости на 1 квартал 2023 года. ОБ</t>
        </is>
      </c>
      <c r="C14" s="286" t="inlineStr">
        <is>
          <t>Письмо Минстроя России от 23.02.2023г. №9791-ИФ/09 прил.6</t>
        </is>
      </c>
      <c r="D14" s="358" t="n">
        <v>6.26</v>
      </c>
    </row>
    <row r="15" ht="89.40000000000001" customHeight="1" s="323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1" t="n">
        <v>0.039</v>
      </c>
    </row>
    <row r="16" ht="78.75" customHeight="1" s="323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1" t="n">
        <v>0.021</v>
      </c>
    </row>
    <row r="17" ht="27.6" customHeight="1" s="323">
      <c r="B17" s="358" t="inlineStr">
        <is>
          <t>Пусконаладочные работы*</t>
        </is>
      </c>
      <c r="C17" s="358" t="n"/>
      <c r="D17" s="311" t="inlineStr">
        <is>
          <t>Расчет</t>
        </is>
      </c>
    </row>
    <row r="18" ht="31.65" customHeight="1" s="323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311" t="n">
        <v>0.0214</v>
      </c>
    </row>
    <row r="19" ht="31.65" customHeight="1" s="323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311" t="n">
        <v>0.002</v>
      </c>
    </row>
    <row r="20" ht="24" customHeight="1" s="323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311" t="n">
        <v>0.03</v>
      </c>
    </row>
    <row r="21" ht="18.75" customHeight="1" s="323">
      <c r="B21" s="280" t="n"/>
    </row>
    <row r="22" ht="18.75" customHeight="1" s="323">
      <c r="B22" s="280" t="n"/>
    </row>
    <row r="23" ht="18.75" customHeight="1" s="323">
      <c r="B23" s="280" t="n"/>
    </row>
    <row r="24" ht="18.75" customHeight="1" s="323">
      <c r="B24" s="280" t="n"/>
    </row>
    <row r="27">
      <c r="B27" s="299" t="inlineStr">
        <is>
          <t>Составил ______________________        Е.А. Князева</t>
        </is>
      </c>
      <c r="C27" s="306" t="n"/>
    </row>
    <row r="28">
      <c r="B28" s="307" t="inlineStr">
        <is>
          <t xml:space="preserve">                         (подпись, инициалы, фамилия)</t>
        </is>
      </c>
      <c r="C28" s="306" t="n"/>
    </row>
    <row r="29">
      <c r="B29" s="299" t="n"/>
      <c r="C29" s="306" t="n"/>
    </row>
    <row r="30">
      <c r="B30" s="299" t="inlineStr">
        <is>
          <t>Проверил ______________________        А.В. Костянецкая</t>
        </is>
      </c>
      <c r="C30" s="306" t="n"/>
    </row>
    <row r="31">
      <c r="B31" s="307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8" t="n"/>
      <c r="D10" s="358" t="n"/>
      <c r="E10" s="453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4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5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2025-01-24T12:04:28Z</dcterms:modified>
  <cp:lastModifiedBy>user1</cp:lastModifiedBy>
</cp:coreProperties>
</file>