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9" zoomScale="60" zoomScaleNormal="70" workbookViewId="0">
      <selection activeCell="C25" sqref="C25"/>
    </sheetView>
  </sheetViews>
  <sheetFormatPr baseColWidth="8" defaultRowHeight="14.4"/>
  <cols>
    <col width="9.109375" customWidth="1" style="215" min="1" max="2"/>
    <col width="36.88671875" customWidth="1" style="215" min="3" max="3"/>
    <col width="39.44140625" customWidth="1" style="215" min="4" max="4"/>
    <col width="9.109375" customWidth="1" style="215" min="5" max="5"/>
  </cols>
  <sheetData>
    <row r="3" ht="15.75" customHeight="1" s="215">
      <c r="B3" s="245" t="inlineStr">
        <is>
          <t>Приложение № 1</t>
        </is>
      </c>
    </row>
    <row r="4" ht="18.75" customHeight="1" s="215">
      <c r="B4" s="246" t="inlineStr">
        <is>
          <t>Сравнительная таблица отбора объекта-представителя</t>
        </is>
      </c>
    </row>
    <row r="5" ht="96" customHeight="1" s="215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77" t="n"/>
      <c r="C6" s="177" t="n"/>
      <c r="D6" s="177" t="n"/>
    </row>
    <row r="7" ht="36" customHeight="1" s="215">
      <c r="B7" s="244" t="inlineStr">
        <is>
          <t>Наименование разрабатываемого показателя УНЦ -  КЛ 110(150) кВ (с алюминиевой жилой) сечение жилы 2000 мм2. Муфта концевая 110 кВ сечением 2000 мм2</t>
        </is>
      </c>
    </row>
    <row r="8" ht="15.75" customHeight="1" s="215">
      <c r="B8" s="244" t="inlineStr">
        <is>
          <t>Сопоставимый уровень цен: 4 квартал 2016 года</t>
        </is>
      </c>
    </row>
    <row r="9" ht="15.75" customHeight="1" s="215">
      <c r="B9" s="244" t="inlineStr">
        <is>
          <t>Единица измерения  — 1 ед</t>
        </is>
      </c>
    </row>
    <row r="10" ht="18.75" customHeight="1" s="215">
      <c r="B10" s="178" t="n"/>
    </row>
    <row r="11" ht="15.75" customHeight="1" s="215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</row>
    <row r="12" ht="78.75" customHeight="1" s="215">
      <c r="B12" s="250" t="n">
        <v>1</v>
      </c>
      <c r="C12" s="229" t="inlineStr">
        <is>
          <t>Наименование объекта-представителя</t>
        </is>
      </c>
      <c r="D12" s="25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182" t="n"/>
      <c r="F12" s="182" t="n"/>
      <c r="G12" s="182" t="n"/>
      <c r="H12" s="182" t="n"/>
      <c r="I12" s="182" t="n"/>
      <c r="J12" s="182" t="n"/>
      <c r="K12" s="182" t="n"/>
      <c r="L12" s="182" t="n"/>
    </row>
    <row r="13" ht="31.5" customHeight="1" s="215">
      <c r="B13" s="250" t="n">
        <v>2</v>
      </c>
      <c r="C13" s="229" t="inlineStr">
        <is>
          <t>Наименование субъекта Российской Федерации</t>
        </is>
      </c>
      <c r="D13" s="250" t="inlineStr">
        <is>
          <t>Ленинградская область</t>
        </is>
      </c>
    </row>
    <row r="14" ht="15.75" customHeight="1" s="215">
      <c r="B14" s="250" t="n">
        <v>3</v>
      </c>
      <c r="C14" s="229" t="inlineStr">
        <is>
          <t>Климатический район и подрайон</t>
        </is>
      </c>
      <c r="D14" s="250" t="inlineStr">
        <is>
          <t>IIВ</t>
        </is>
      </c>
    </row>
    <row r="15" ht="15.75" customHeight="1" s="215">
      <c r="B15" s="250" t="n">
        <v>4</v>
      </c>
      <c r="C15" s="229" t="inlineStr">
        <is>
          <t>Мощность объекта</t>
        </is>
      </c>
      <c r="D15" s="250" t="n">
        <v>1</v>
      </c>
    </row>
    <row r="16" ht="94.5" customHeight="1" s="215">
      <c r="B16" s="250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>Муфта концевая 110 кВ сечением 2000 мм2</t>
        </is>
      </c>
    </row>
    <row r="17" ht="78.75" customHeight="1" s="215">
      <c r="B17" s="250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</row>
    <row r="18" ht="15.75" customHeight="1" s="215">
      <c r="B18" s="185" t="inlineStr">
        <is>
          <t>6.1</t>
        </is>
      </c>
      <c r="C18" s="229" t="inlineStr">
        <is>
          <t>строительно-монтажные работы</t>
        </is>
      </c>
      <c r="D18" s="213" t="n">
        <v>5078.11</v>
      </c>
    </row>
    <row r="19" ht="15.75" customHeight="1" s="215">
      <c r="B19" s="185" t="inlineStr">
        <is>
          <t>6.2</t>
        </is>
      </c>
      <c r="C19" s="229" t="inlineStr">
        <is>
          <t>оборудование и инвентарь</t>
        </is>
      </c>
      <c r="D19" s="213" t="n">
        <v>0</v>
      </c>
    </row>
    <row r="20" ht="15.75" customHeight="1" s="215">
      <c r="B20" s="185" t="inlineStr">
        <is>
          <t>6.3</t>
        </is>
      </c>
      <c r="C20" s="229" t="inlineStr">
        <is>
          <t>пусконаладочные работы</t>
        </is>
      </c>
      <c r="D20" s="213" t="n">
        <v>0</v>
      </c>
    </row>
    <row r="21" ht="31.5" customHeight="1" s="215">
      <c r="B21" s="185" t="inlineStr">
        <is>
          <t>6.4</t>
        </is>
      </c>
      <c r="C21" s="229" t="inlineStr">
        <is>
          <t>прочие и лимитированные затраты</t>
        </is>
      </c>
      <c r="D21" s="213">
        <f>D18*0.039+(D18*0.039+D18)*0.021</f>
        <v/>
      </c>
    </row>
    <row r="22" ht="15.75" customHeight="1" s="215">
      <c r="B22" s="250" t="n">
        <v>7</v>
      </c>
      <c r="C22" s="229" t="inlineStr">
        <is>
          <t>Сопоставимый уровень цен</t>
        </is>
      </c>
      <c r="D22" s="214" t="inlineStr">
        <is>
          <t>4 квартал 2016 года</t>
        </is>
      </c>
    </row>
    <row r="23" ht="110.25" customHeight="1" s="215">
      <c r="B23" s="250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</row>
    <row r="24" ht="47.25" customHeight="1" s="215">
      <c r="B24" s="250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</row>
    <row r="25" ht="15.75" customHeight="1" s="215">
      <c r="B25" s="186" t="n"/>
      <c r="C25" s="187" t="n"/>
      <c r="D25" s="18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215">
      <c r="B31" s="187" t="n"/>
      <c r="C31" s="187" t="n"/>
      <c r="D31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7" min="1" max="1"/>
    <col width="9.109375" customWidth="1" style="217" min="2" max="2"/>
    <col width="35.33203125" customWidth="1" style="217" min="3" max="3"/>
    <col width="13.88671875" customWidth="1" style="217" min="4" max="4"/>
    <col width="24.88671875" customWidth="1" style="217" min="5" max="5"/>
    <col width="15.5546875" customWidth="1" style="217" min="6" max="6"/>
    <col width="14.88671875" customWidth="1" style="217" min="7" max="7"/>
    <col width="16.6640625" customWidth="1" style="217" min="8" max="8"/>
    <col width="13" customWidth="1" style="217" min="9" max="10"/>
    <col width="18" customWidth="1" style="217" min="11" max="11"/>
    <col width="9.109375" customWidth="1" style="217" min="12" max="12"/>
  </cols>
  <sheetData>
    <row r="3">
      <c r="B3" s="245" t="inlineStr">
        <is>
          <t>Приложение № 2</t>
        </is>
      </c>
      <c r="K3" s="186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32.25" customHeight="1" s="215">
      <c r="B6" s="251" t="inlineStr">
        <is>
          <t>Наименование разрабатываемого показателя УНЦ -  КЛ 110(150) кВ (с алюминиевой жилой) сечение жилы 2000 мм2. Муфта концевая 110 кВ сечением 2000 мм2</t>
        </is>
      </c>
      <c r="K6" s="186" t="n"/>
    </row>
    <row r="7">
      <c r="B7" s="252" t="inlineStr">
        <is>
          <t>Единица измерения  — 1 ед</t>
        </is>
      </c>
      <c r="K7" s="186" t="n"/>
    </row>
    <row r="8" ht="18.75" customHeight="1" s="215">
      <c r="B8" s="178" t="n"/>
    </row>
    <row r="9" ht="15.75" customHeight="1" s="215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 s="215">
      <c r="B10" s="333" t="n"/>
      <c r="C10" s="333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2016г., тыс. руб.</t>
        </is>
      </c>
      <c r="G10" s="331" t="n"/>
      <c r="H10" s="331" t="n"/>
      <c r="I10" s="331" t="n"/>
      <c r="J10" s="332" t="n"/>
    </row>
    <row r="11" ht="31.5" customHeight="1" s="215">
      <c r="B11" s="334" t="n"/>
      <c r="C11" s="334" t="n"/>
      <c r="D11" s="334" t="n"/>
      <c r="E11" s="334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</row>
    <row r="12" ht="47.25" customHeight="1" s="215">
      <c r="B12" s="218" t="n">
        <v>1</v>
      </c>
      <c r="C12" s="234" t="inlineStr">
        <is>
          <t>Кабель алюминиевый 110(150)кВ 3х2000</t>
        </is>
      </c>
      <c r="D12" s="208" t="inlineStr">
        <is>
          <t>02-04-01</t>
        </is>
      </c>
      <c r="E12" s="229" t="inlineStr">
        <is>
          <t>Строительно-монтажные работы КЛ-110кВ Шушары</t>
        </is>
      </c>
      <c r="F12" s="209" t="n"/>
      <c r="G12" s="209">
        <f>5078112.014/1000</f>
        <v/>
      </c>
      <c r="H12" s="209" t="n"/>
      <c r="I12" s="209" t="n"/>
      <c r="J12" s="210">
        <f>SUM(F12:I12)</f>
        <v/>
      </c>
    </row>
    <row r="13" ht="15" customHeight="1" s="215">
      <c r="B13" s="248" t="inlineStr">
        <is>
          <t>Всего по объекту:</t>
        </is>
      </c>
      <c r="C13" s="331" t="n"/>
      <c r="D13" s="331" t="n"/>
      <c r="E13" s="332" t="n"/>
      <c r="F13" s="212" t="n"/>
      <c r="G13" s="212">
        <f>SUM(G12:G12)</f>
        <v/>
      </c>
      <c r="H13" s="212" t="n"/>
      <c r="I13" s="212" t="n"/>
      <c r="J13" s="212">
        <f>SUM(F13:I13)</f>
        <v/>
      </c>
    </row>
    <row r="14" ht="15.75" customHeight="1" s="215">
      <c r="B14" s="248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>
        <f>G13</f>
        <v/>
      </c>
      <c r="H14" s="212" t="n"/>
      <c r="I14" s="212" t="n"/>
      <c r="J14" s="212">
        <f>SUM(F14:I14)</f>
        <v/>
      </c>
    </row>
    <row r="15" ht="15" customHeight="1" s="215"/>
    <row r="16" ht="15" customHeight="1" s="215"/>
    <row r="17" ht="15" customHeight="1" s="215"/>
    <row r="18" ht="15" customHeight="1" s="215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5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5">
      <c r="C20" s="192" t="n"/>
      <c r="D20" s="202" t="n"/>
      <c r="E20" s="202" t="n"/>
    </row>
    <row r="21" ht="15" customHeight="1" s="215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5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16" zoomScale="85" workbookViewId="0">
      <selection activeCell="C37" sqref="C37"/>
    </sheetView>
  </sheetViews>
  <sheetFormatPr baseColWidth="8" defaultColWidth="9.109375" defaultRowHeight="15.6"/>
  <cols>
    <col width="9.109375" customWidth="1" style="217" min="1" max="1"/>
    <col width="12.5546875" customWidth="1" style="217" min="2" max="2"/>
    <col width="22.44140625" customWidth="1" style="217" min="3" max="3"/>
    <col width="49.6640625" customWidth="1" style="217" min="4" max="4"/>
    <col width="10.109375" customWidth="1" style="217" min="5" max="5"/>
    <col width="20.6640625" customWidth="1" style="217" min="6" max="6"/>
    <col width="20" customWidth="1" style="217" min="7" max="7"/>
    <col width="16.6640625" customWidth="1" style="217" min="8" max="8"/>
    <col width="9.109375" customWidth="1" style="217" min="9" max="10"/>
    <col width="15" customWidth="1" style="217" min="11" max="11"/>
    <col width="9.109375" customWidth="1" style="217" min="12" max="12"/>
  </cols>
  <sheetData>
    <row r="2">
      <c r="A2" s="245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15">
      <c r="A4" s="246" t="n"/>
      <c r="B4" s="246" t="n"/>
      <c r="C4" s="257" t="n"/>
    </row>
    <row r="5">
      <c r="A5" s="244" t="n"/>
    </row>
    <row r="6" ht="34.5" customHeight="1" s="215">
      <c r="A6" s="251" t="inlineStr">
        <is>
          <t>Наименование разрабатываемого показателя УНЦ -  КЛ 110(150) кВ (с алюминиевой жилой) сечение жилы 2000 мм2. Муфта концевая 110 кВ сечением 2000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5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32" t="n"/>
    </row>
    <row r="9" ht="40.65" customHeight="1" s="215">
      <c r="A9" s="334" t="n"/>
      <c r="B9" s="334" t="n"/>
      <c r="C9" s="334" t="n"/>
      <c r="D9" s="334" t="n"/>
      <c r="E9" s="334" t="n"/>
      <c r="F9" s="334" t="n"/>
      <c r="G9" s="250" t="inlineStr">
        <is>
          <t>на ед.изм.</t>
        </is>
      </c>
      <c r="H9" s="250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46">
      <c r="A11" s="254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3" t="n">
        <v>369.6</v>
      </c>
      <c r="G12" s="336" t="n">
        <v>9.619999999999999</v>
      </c>
      <c r="H12" s="157">
        <f>ROUND(F12*G12,2)</f>
        <v/>
      </c>
      <c r="M12" s="337" t="n"/>
    </row>
    <row r="13">
      <c r="A13" s="253" t="inlineStr">
        <is>
          <t>Затраты труда машинистов</t>
        </is>
      </c>
      <c r="B13" s="331" t="n"/>
      <c r="C13" s="331" t="n"/>
      <c r="D13" s="331" t="n"/>
      <c r="E13" s="332" t="n"/>
      <c r="F13" s="254" t="n"/>
      <c r="G13" s="147" t="n"/>
      <c r="H13" s="335">
        <f>H14</f>
        <v/>
      </c>
    </row>
    <row r="14">
      <c r="A14" s="285" t="n">
        <v>2</v>
      </c>
      <c r="B14" s="255" t="n"/>
      <c r="C14" s="166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10.38</v>
      </c>
      <c r="G14" s="157" t="n"/>
      <c r="H14" s="168" t="n">
        <v>138.72</v>
      </c>
    </row>
    <row r="15" customFormat="1" s="146">
      <c r="A15" s="254" t="inlineStr">
        <is>
          <t>Машины и механизмы</t>
        </is>
      </c>
      <c r="B15" s="331" t="n"/>
      <c r="C15" s="331" t="n"/>
      <c r="D15" s="331" t="n"/>
      <c r="E15" s="332" t="n"/>
      <c r="F15" s="254" t="n"/>
      <c r="G15" s="147" t="n"/>
      <c r="H15" s="338">
        <f>SUM(H16:H20)</f>
        <v/>
      </c>
    </row>
    <row r="16" ht="25.5" customHeight="1" s="215">
      <c r="A16" s="285" t="n">
        <v>3</v>
      </c>
      <c r="B16" s="255" t="n"/>
      <c r="C16" s="134" t="inlineStr">
        <is>
          <t>91.05.05-015</t>
        </is>
      </c>
      <c r="D16" s="272" t="inlineStr">
        <is>
          <t>Краны на автомобильном ходу, грузоподъемность 16 т</t>
        </is>
      </c>
      <c r="E16" s="263" t="inlineStr">
        <is>
          <t>маш.час</t>
        </is>
      </c>
      <c r="F16" s="263" t="n">
        <v>9.640000000000001</v>
      </c>
      <c r="G16" s="274" t="n">
        <v>115.4</v>
      </c>
      <c r="H16" s="174">
        <f>ROUND(F16*G16,2)</f>
        <v/>
      </c>
      <c r="I16" s="170" t="n"/>
      <c r="J16" s="170" t="n"/>
      <c r="L16" s="170" t="n"/>
      <c r="M16" s="217" t="n"/>
      <c r="N16" s="217" t="n"/>
    </row>
    <row r="17" customFormat="1" s="146">
      <c r="A17" s="285" t="n">
        <v>4</v>
      </c>
      <c r="B17" s="255" t="n"/>
      <c r="C17" s="134" t="inlineStr">
        <is>
          <t>91.19.12-021</t>
        </is>
      </c>
      <c r="D17" s="272" t="inlineStr">
        <is>
          <t>Насосы вакуумные 3,6 м3/мин</t>
        </is>
      </c>
      <c r="E17" s="263" t="inlineStr">
        <is>
          <t>маш.час</t>
        </is>
      </c>
      <c r="F17" s="263" t="n">
        <v>24.16</v>
      </c>
      <c r="G17" s="274" t="n">
        <v>6.28</v>
      </c>
      <c r="H17" s="174">
        <f>ROUND(F17*G17,2)</f>
        <v/>
      </c>
      <c r="I17" s="170" t="n"/>
      <c r="J17" s="170" t="n"/>
      <c r="K17" s="175" t="n"/>
      <c r="L17" s="170" t="n"/>
    </row>
    <row r="18">
      <c r="A18" s="285" t="n">
        <v>5</v>
      </c>
      <c r="B18" s="255" t="n"/>
      <c r="C18" s="134" t="inlineStr">
        <is>
          <t>91.03.02-011</t>
        </is>
      </c>
      <c r="D18" s="272" t="inlineStr">
        <is>
          <t>Вентиляторы во взрывобезопасном исполнении</t>
        </is>
      </c>
      <c r="E18" s="263" t="inlineStr">
        <is>
          <t>маш.час</t>
        </is>
      </c>
      <c r="F18" s="263" t="n">
        <v>28.96</v>
      </c>
      <c r="G18" s="274" t="n">
        <v>4.14</v>
      </c>
      <c r="H18" s="174">
        <f>ROUND(F18*G18,2)</f>
        <v/>
      </c>
      <c r="I18" s="170" t="n"/>
      <c r="J18" s="170" t="n"/>
      <c r="L18" s="170" t="n"/>
      <c r="M18" s="217" t="n"/>
      <c r="N18" s="217" t="n"/>
    </row>
    <row r="19">
      <c r="A19" s="285" t="n">
        <v>6</v>
      </c>
      <c r="B19" s="255" t="n"/>
      <c r="C19" s="134" t="inlineStr">
        <is>
          <t>91.14.02-001</t>
        </is>
      </c>
      <c r="D19" s="272" t="inlineStr">
        <is>
          <t>Автомобили бортовые, грузоподъемность до 5 т</t>
        </is>
      </c>
      <c r="E19" s="263" t="inlineStr">
        <is>
          <t>маш.час</t>
        </is>
      </c>
      <c r="F19" s="263" t="n">
        <v>0.74</v>
      </c>
      <c r="G19" s="274" t="n">
        <v>65.70999999999999</v>
      </c>
      <c r="H19" s="174">
        <f>ROUND(F19*G19,2)</f>
        <v/>
      </c>
      <c r="I19" s="170" t="n"/>
      <c r="J19" s="170" t="n"/>
      <c r="L19" s="170" t="n"/>
      <c r="M19" s="217" t="n"/>
      <c r="N19" s="217" t="n"/>
    </row>
    <row r="20" ht="25.5" customHeight="1" s="215">
      <c r="A20" s="285" t="n">
        <v>7</v>
      </c>
      <c r="B20" s="255" t="n"/>
      <c r="C20" s="134" t="inlineStr">
        <is>
          <t>91.17.04-233</t>
        </is>
      </c>
      <c r="D20" s="272" t="inlineStr">
        <is>
          <t>Установки для сварки ручной дуговой (постоянного тока)</t>
        </is>
      </c>
      <c r="E20" s="263" t="inlineStr">
        <is>
          <t>маш.час</t>
        </is>
      </c>
      <c r="F20" s="263" t="n">
        <v>3.16</v>
      </c>
      <c r="G20" s="274" t="n">
        <v>8.1</v>
      </c>
      <c r="H20" s="174">
        <f>ROUND(F20*G20,2)</f>
        <v/>
      </c>
      <c r="I20" s="170" t="n"/>
      <c r="J20" s="170" t="n"/>
      <c r="L20" s="170" t="n"/>
      <c r="M20" s="217" t="n"/>
      <c r="N20" s="217" t="n"/>
    </row>
    <row r="21">
      <c r="A21" s="254" t="inlineStr">
        <is>
          <t>Материалы</t>
        </is>
      </c>
      <c r="B21" s="331" t="n"/>
      <c r="C21" s="331" t="n"/>
      <c r="D21" s="331" t="n"/>
      <c r="E21" s="332" t="n"/>
      <c r="F21" s="254" t="n"/>
      <c r="G21" s="147" t="n"/>
      <c r="H21" s="338">
        <f>SUM(H22:H35)</f>
        <v/>
      </c>
      <c r="M21" s="217" t="n"/>
      <c r="N21" s="217" t="n"/>
    </row>
    <row r="22">
      <c r="A22" s="172" t="n">
        <v>8</v>
      </c>
      <c r="B22" s="172" t="n"/>
      <c r="C22" s="285" t="inlineStr">
        <is>
          <t>Прайс из СД ОП</t>
        </is>
      </c>
      <c r="D22" s="171">
        <f>E22шт</f>
        <v/>
      </c>
      <c r="E22" s="285">
        <f>'Прил.5 Расчет СМР и ОБ'!D36</f>
        <v/>
      </c>
      <c r="F22" s="285" t="n">
        <v>6</v>
      </c>
      <c r="G22" s="171" t="n">
        <v>116856.5</v>
      </c>
      <c r="H22" s="174">
        <f>ROUND(F22*G22,2)</f>
        <v/>
      </c>
      <c r="M22" s="217" t="n"/>
      <c r="N22" s="217" t="n"/>
    </row>
    <row r="23">
      <c r="A23" s="160" t="n">
        <v>9</v>
      </c>
      <c r="B23" s="255" t="n"/>
      <c r="C23" s="134" t="inlineStr">
        <is>
          <t>01.1.02.01-0003</t>
        </is>
      </c>
      <c r="D23" s="272" t="inlineStr">
        <is>
          <t>Асботекстолит, марка Г</t>
        </is>
      </c>
      <c r="E23" s="263" t="inlineStr">
        <is>
          <t>т</t>
        </is>
      </c>
      <c r="F23" s="263" t="n">
        <v>0.012</v>
      </c>
      <c r="G23" s="274" t="n">
        <v>161000</v>
      </c>
      <c r="H23" s="174">
        <f>ROUND(F23*G23,2)</f>
        <v/>
      </c>
      <c r="I23" s="156" t="n"/>
      <c r="J23" s="170" t="n"/>
      <c r="K23" s="170" t="n"/>
      <c r="M23" s="217" t="n"/>
      <c r="N23" s="217" t="n"/>
    </row>
    <row r="24" ht="25.5" customHeight="1" s="215">
      <c r="A24" s="172" t="n">
        <v>10</v>
      </c>
      <c r="B24" s="255" t="n"/>
      <c r="C24" s="134" t="inlineStr">
        <is>
          <t>10.3.02.03-0011</t>
        </is>
      </c>
      <c r="D24" s="272" t="inlineStr">
        <is>
          <t>Припои оловянно-свинцовые бессурьмянистые, марка ПОС30</t>
        </is>
      </c>
      <c r="E24" s="263" t="inlineStr">
        <is>
          <t>т</t>
        </is>
      </c>
      <c r="F24" s="263" t="n">
        <v>0.01892</v>
      </c>
      <c r="G24" s="274" t="n">
        <v>68050</v>
      </c>
      <c r="H24" s="174">
        <f>ROUND(F24*G24,2)</f>
        <v/>
      </c>
      <c r="I24" s="156" t="n"/>
      <c r="J24" s="170" t="n"/>
      <c r="K24" s="170" t="n"/>
      <c r="M24" s="217" t="n"/>
      <c r="N24" s="217" t="n"/>
    </row>
    <row r="25">
      <c r="A25" s="160" t="n">
        <v>11</v>
      </c>
      <c r="B25" s="255" t="n"/>
      <c r="C25" s="134" t="inlineStr">
        <is>
          <t>01.7.03.04-0001</t>
        </is>
      </c>
      <c r="D25" s="272" t="inlineStr">
        <is>
          <t>Электроэнергия</t>
        </is>
      </c>
      <c r="E25" s="263" t="inlineStr">
        <is>
          <t>кВт-ч</t>
        </is>
      </c>
      <c r="F25" s="263" t="n">
        <v>1482.62</v>
      </c>
      <c r="G25" s="274" t="n">
        <v>0.4</v>
      </c>
      <c r="H25" s="174">
        <f>ROUND(F25*G25,2)</f>
        <v/>
      </c>
      <c r="I25" s="156" t="n"/>
      <c r="J25" s="170" t="n"/>
      <c r="K25" s="170" t="n"/>
      <c r="M25" s="217" t="n"/>
      <c r="N25" s="217" t="n"/>
    </row>
    <row r="26">
      <c r="A26" s="172" t="n">
        <v>12</v>
      </c>
      <c r="B26" s="255" t="n"/>
      <c r="C26" s="134" t="inlineStr">
        <is>
          <t>14.2.06.05-0212</t>
        </is>
      </c>
      <c r="D26" s="272" t="inlineStr">
        <is>
          <t>Компаунд эпоксидный</t>
        </is>
      </c>
      <c r="E26" s="263" t="inlineStr">
        <is>
          <t>кг</t>
        </is>
      </c>
      <c r="F26" s="263" t="n">
        <v>4.8</v>
      </c>
      <c r="G26" s="274" t="n">
        <v>68.8</v>
      </c>
      <c r="H26" s="174">
        <f>ROUND(F26*G26,2)</f>
        <v/>
      </c>
      <c r="I26" s="156" t="n"/>
      <c r="J26" s="170" t="n"/>
      <c r="K26" s="170" t="n"/>
      <c r="M26" s="217" t="n"/>
      <c r="N26" s="217" t="n"/>
    </row>
    <row r="27" ht="25.5" customHeight="1" s="215">
      <c r="A27" s="160" t="n">
        <v>13</v>
      </c>
      <c r="B27" s="255" t="n"/>
      <c r="C27" s="134" t="inlineStr">
        <is>
          <t>01.7.06.05-0041</t>
        </is>
      </c>
      <c r="D27" s="272" t="inlineStr">
        <is>
          <t>Лента изоляционная прорезиненная односторонняя, ширина 20 мм, толщина 0,25-0,35 мм</t>
        </is>
      </c>
      <c r="E27" s="263" t="inlineStr">
        <is>
          <t>кг</t>
        </is>
      </c>
      <c r="F27" s="263" t="n">
        <v>6.64</v>
      </c>
      <c r="G27" s="274" t="n">
        <v>30.4</v>
      </c>
      <c r="H27" s="174">
        <f>ROUND(F27*G27,2)</f>
        <v/>
      </c>
      <c r="I27" s="156" t="n"/>
      <c r="J27" s="170" t="n"/>
      <c r="K27" s="170" t="n"/>
      <c r="M27" s="217" t="n"/>
      <c r="N27" s="217" t="n"/>
    </row>
    <row r="28" ht="25.5" customHeight="1" s="215">
      <c r="A28" s="172" t="n">
        <v>14</v>
      </c>
      <c r="B28" s="255" t="n"/>
      <c r="C28" s="134" t="inlineStr">
        <is>
          <t>10.2.02.08-0001</t>
        </is>
      </c>
      <c r="D28" s="272" t="inlineStr">
        <is>
          <t>Проволока медная, круглая, мягкая, электротехническая, диаметр 1,0-3,0 мм и выше</t>
        </is>
      </c>
      <c r="E28" s="263" t="inlineStr">
        <is>
          <t>т</t>
        </is>
      </c>
      <c r="F28" s="263" t="n">
        <v>0.005</v>
      </c>
      <c r="G28" s="274" t="n">
        <v>37517</v>
      </c>
      <c r="H28" s="174">
        <f>ROUND(F28*G28,2)</f>
        <v/>
      </c>
      <c r="I28" s="156" t="n"/>
      <c r="J28" s="170" t="n"/>
      <c r="K28" s="170" t="n"/>
      <c r="M28" s="217" t="n"/>
      <c r="N28" s="217" t="n"/>
    </row>
    <row r="29">
      <c r="A29" s="160" t="n">
        <v>15</v>
      </c>
      <c r="B29" s="255" t="n"/>
      <c r="C29" s="134" t="inlineStr">
        <is>
          <t>01.3.02.09-0022</t>
        </is>
      </c>
      <c r="D29" s="272" t="inlineStr">
        <is>
          <t>Пропан-бутан смесь техническая</t>
        </is>
      </c>
      <c r="E29" s="263" t="inlineStr">
        <is>
          <t>кг</t>
        </is>
      </c>
      <c r="F29" s="263" t="n">
        <v>22</v>
      </c>
      <c r="G29" s="274" t="n">
        <v>6.09</v>
      </c>
      <c r="H29" s="174">
        <f>ROUND(F29*G29,2)</f>
        <v/>
      </c>
      <c r="I29" s="156" t="n"/>
      <c r="J29" s="170" t="n"/>
      <c r="K29" s="170" t="n"/>
      <c r="M29" s="217" t="n"/>
      <c r="N29" s="217" t="n"/>
    </row>
    <row r="30">
      <c r="A30" s="160" t="n">
        <v>16</v>
      </c>
      <c r="B30" s="255" t="n"/>
      <c r="C30" s="134" t="inlineStr">
        <is>
          <t>01.7.11.07-0034</t>
        </is>
      </c>
      <c r="D30" s="272" t="inlineStr">
        <is>
          <t>Электроды сварочные Э42А, диаметр 4 мм</t>
        </is>
      </c>
      <c r="E30" s="263" t="inlineStr">
        <is>
          <t>кг</t>
        </is>
      </c>
      <c r="F30" s="263" t="n">
        <v>6.6</v>
      </c>
      <c r="G30" s="274" t="n">
        <v>10.57</v>
      </c>
      <c r="H30" s="174">
        <f>ROUND(F30*G30,2)</f>
        <v/>
      </c>
      <c r="I30" s="156" t="n"/>
      <c r="J30" s="170" t="n"/>
      <c r="K30" s="170" t="n"/>
      <c r="M30" s="217" t="n"/>
      <c r="N30" s="217" t="n"/>
    </row>
    <row r="31">
      <c r="A31" s="172" t="n">
        <v>17</v>
      </c>
      <c r="B31" s="255" t="n"/>
      <c r="C31" s="134" t="inlineStr">
        <is>
          <t>14.4.02.09-0001</t>
        </is>
      </c>
      <c r="D31" s="272" t="inlineStr">
        <is>
          <t>Краска</t>
        </is>
      </c>
      <c r="E31" s="263" t="inlineStr">
        <is>
          <t>кг</t>
        </is>
      </c>
      <c r="F31" s="263" t="n">
        <v>2.4</v>
      </c>
      <c r="G31" s="274" t="n">
        <v>28.6</v>
      </c>
      <c r="H31" s="174">
        <f>ROUND(F31*G31,2)</f>
        <v/>
      </c>
      <c r="I31" s="156" t="n"/>
      <c r="J31" s="170" t="n"/>
      <c r="K31" s="170" t="n"/>
      <c r="M31" s="217" t="n"/>
      <c r="N31" s="217" t="n"/>
    </row>
    <row r="32">
      <c r="A32" s="160" t="n">
        <v>18</v>
      </c>
      <c r="B32" s="255" t="n"/>
      <c r="C32" s="134" t="inlineStr">
        <is>
          <t>01.7.20.08-0031</t>
        </is>
      </c>
      <c r="D32" s="272" t="inlineStr">
        <is>
          <t>Бязь суровая</t>
        </is>
      </c>
      <c r="E32" s="263" t="inlineStr">
        <is>
          <t>10 м2</t>
        </is>
      </c>
      <c r="F32" s="263" t="n">
        <v>0.6</v>
      </c>
      <c r="G32" s="274" t="n">
        <v>79.09999999999999</v>
      </c>
      <c r="H32" s="174">
        <f>ROUND(F32*G32,2)</f>
        <v/>
      </c>
      <c r="I32" s="156" t="n"/>
      <c r="J32" s="170" t="n"/>
      <c r="K32" s="170" t="n"/>
      <c r="M32" s="217" t="n"/>
      <c r="N32" s="217" t="n"/>
    </row>
    <row r="33">
      <c r="A33" s="172" t="n">
        <v>19</v>
      </c>
      <c r="B33" s="255" t="n"/>
      <c r="C33" s="134" t="inlineStr">
        <is>
          <t>01.3.01.05-0009</t>
        </is>
      </c>
      <c r="D33" s="272" t="inlineStr">
        <is>
          <t>Парафин нефтяной твердый Т-1</t>
        </is>
      </c>
      <c r="E33" s="263" t="inlineStr">
        <is>
          <t>т</t>
        </is>
      </c>
      <c r="F33" s="263" t="n">
        <v>0.00378</v>
      </c>
      <c r="G33" s="274" t="n">
        <v>8105.71</v>
      </c>
      <c r="H33" s="174">
        <f>ROUND(F33*G33,2)</f>
        <v/>
      </c>
      <c r="I33" s="156" t="n"/>
      <c r="J33" s="170" t="n"/>
      <c r="K33" s="170" t="n"/>
      <c r="M33" s="217" t="n"/>
      <c r="N33" s="217" t="n"/>
    </row>
    <row r="34">
      <c r="A34" s="160" t="n">
        <v>20</v>
      </c>
      <c r="B34" s="255" t="n"/>
      <c r="C34" s="134" t="inlineStr">
        <is>
          <t>25.1.01.04-0031</t>
        </is>
      </c>
      <c r="D34" s="272" t="inlineStr">
        <is>
          <t>Шпалы непропитанные для железных дорог, тип I</t>
        </is>
      </c>
      <c r="E34" s="263" t="inlineStr">
        <is>
          <t>шт</t>
        </is>
      </c>
      <c r="F34" s="263" t="n">
        <v>0.104</v>
      </c>
      <c r="G34" s="274" t="n">
        <v>266.67</v>
      </c>
      <c r="H34" s="174">
        <f>ROUND(F34*G34,2)</f>
        <v/>
      </c>
      <c r="I34" s="156" t="n"/>
      <c r="J34" s="170" t="n"/>
      <c r="K34" s="170" t="n"/>
      <c r="M34" s="217" t="n"/>
      <c r="N34" s="217" t="n"/>
    </row>
    <row r="35">
      <c r="A35" s="172" t="n">
        <v>21</v>
      </c>
      <c r="B35" s="255" t="n"/>
      <c r="C35" s="134" t="inlineStr">
        <is>
          <t>20.1.02.06-0001</t>
        </is>
      </c>
      <c r="D35" s="272" t="inlineStr">
        <is>
          <t>Жир паяльный</t>
        </is>
      </c>
      <c r="E35" s="263" t="inlineStr">
        <is>
          <t>кг</t>
        </is>
      </c>
      <c r="F35" s="263" t="n">
        <v>0.18</v>
      </c>
      <c r="G35" s="274" t="n">
        <v>100.8</v>
      </c>
      <c r="H35" s="174">
        <f>ROUND(F35*G35,2)</f>
        <v/>
      </c>
      <c r="I35" s="156" t="n"/>
      <c r="J35" s="170" t="n"/>
      <c r="K35" s="170" t="n"/>
      <c r="M35" s="217" t="n"/>
      <c r="N35" s="217" t="n"/>
    </row>
    <row r="36">
      <c r="M36" s="217" t="n"/>
      <c r="N36" s="217" t="n"/>
    </row>
    <row r="37">
      <c r="B37" s="217" t="inlineStr">
        <is>
          <t>Составил ______________________     А.Р. Маркова</t>
        </is>
      </c>
      <c r="M37" s="217" t="n"/>
      <c r="N37" s="217" t="n"/>
    </row>
    <row r="38">
      <c r="B38" s="186" t="inlineStr">
        <is>
          <t xml:space="preserve">                         (подпись, инициалы, фамилия)</t>
        </is>
      </c>
    </row>
    <row r="40">
      <c r="B40" s="217" t="inlineStr">
        <is>
          <t>Проверил ______________________        А.В. Костянецкая</t>
        </is>
      </c>
    </row>
    <row r="41">
      <c r="B41" s="18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215" min="1" max="1"/>
    <col width="36.33203125" customWidth="1" style="215" min="2" max="2"/>
    <col width="18.88671875" customWidth="1" style="215" min="3" max="3"/>
    <col width="18.33203125" customWidth="1" style="215" min="4" max="4"/>
    <col width="18.88671875" customWidth="1" style="215" min="5" max="5"/>
    <col width="11.44140625" customWidth="1" style="215" min="6" max="6"/>
    <col width="14.44140625" customWidth="1" style="215" min="7" max="7"/>
    <col width="13.5546875" customWidth="1" style="215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80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7" t="inlineStr">
        <is>
          <t>Ресурсная модель</t>
        </is>
      </c>
    </row>
    <row r="6">
      <c r="B6" s="155" t="n"/>
      <c r="C6" s="192" t="n"/>
      <c r="D6" s="192" t="n"/>
      <c r="E6" s="192" t="n"/>
    </row>
    <row r="7" ht="25.5" customHeight="1" s="215">
      <c r="B7" s="258" t="inlineStr">
        <is>
          <t>Наименование разрабатываемого показателя УНЦ — КЛ 110(150) кВ (с алюминиевой жилой) сечение жилы 2000 мм2. Муфта концевая 110 кВ сечением 2000 мм2</t>
        </is>
      </c>
    </row>
    <row r="8">
      <c r="B8" s="259" t="inlineStr">
        <is>
          <t>Единица измерения  — 1 ед</t>
        </is>
      </c>
    </row>
    <row r="9">
      <c r="B9" s="155" t="n"/>
      <c r="C9" s="192" t="n"/>
      <c r="D9" s="192" t="n"/>
      <c r="E9" s="192" t="n"/>
    </row>
    <row r="10" ht="51" customHeight="1" s="215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ОБ'!J51</f>
        <v/>
      </c>
      <c r="D17" s="26">
        <f>C17/$C$24</f>
        <v/>
      </c>
      <c r="E17" s="26">
        <f>C17/$C$40</f>
        <v/>
      </c>
      <c r="G17" s="339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15">
      <c r="B25" s="24" t="inlineStr">
        <is>
          <t>ВСЕГО стоимость оборудования, в том числе</t>
        </is>
      </c>
      <c r="C25" s="197">
        <f>'Прил.5 Расчет СМР и ОБ'!J32</f>
        <v/>
      </c>
      <c r="D25" s="26" t="n"/>
      <c r="E25" s="26">
        <f>C25/$C$40</f>
        <v/>
      </c>
    </row>
    <row r="26" ht="25.5" customHeight="1" s="215">
      <c r="B26" s="24" t="inlineStr">
        <is>
          <t>стоимость оборудования технологического</t>
        </is>
      </c>
      <c r="C26" s="197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5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5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65" customHeight="1" s="215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ОБ'!E58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0" zoomScale="80" workbookViewId="0">
      <selection activeCell="B59" sqref="B59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5">
      <c r="H2" s="260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7" t="inlineStr">
        <is>
          <t>Расчет стоимости СМР и оборудования</t>
        </is>
      </c>
    </row>
    <row r="5" ht="12.75" customFormat="1" customHeight="1" s="192">
      <c r="A5" s="237" t="n"/>
      <c r="B5" s="237" t="n"/>
      <c r="C5" s="287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192">
      <c r="A6" s="136" t="inlineStr">
        <is>
          <t>Наименование разрабатываемого показателя УНЦ</t>
        </is>
      </c>
      <c r="B6" s="135" t="n"/>
      <c r="C6" s="135" t="n"/>
      <c r="D6" s="266" t="inlineStr">
        <is>
          <t>КЛ 110(150) кВ (с алюминиевой жилой) сечение жилы 2000 мм2. Муфта концевая 110 кВ сечением 2000 мм2</t>
        </is>
      </c>
    </row>
    <row r="7" ht="12.75" customFormat="1" customHeight="1" s="192">
      <c r="A7" s="240" t="inlineStr">
        <is>
          <t>Единица измерения  — 1 ед</t>
        </is>
      </c>
      <c r="I7" s="258" t="n"/>
      <c r="J7" s="258" t="n"/>
    </row>
    <row r="8" ht="13.65" customFormat="1" customHeight="1" s="192">
      <c r="A8" s="240" t="n"/>
    </row>
    <row r="9" ht="13.2" customFormat="1" customHeight="1" s="192"/>
    <row r="10" ht="27" customHeight="1" s="215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2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2" t="n"/>
      <c r="M10" s="202" t="n"/>
      <c r="N10" s="202" t="n"/>
    </row>
    <row r="11" ht="28.5" customHeight="1" s="215">
      <c r="A11" s="334" t="n"/>
      <c r="B11" s="334" t="n"/>
      <c r="C11" s="334" t="n"/>
      <c r="D11" s="334" t="n"/>
      <c r="E11" s="334" t="n"/>
      <c r="F11" s="263" t="inlineStr">
        <is>
          <t>на ед. изм.</t>
        </is>
      </c>
      <c r="G11" s="263" t="inlineStr">
        <is>
          <t>общая</t>
        </is>
      </c>
      <c r="H11" s="334" t="n"/>
      <c r="I11" s="263" t="inlineStr">
        <is>
          <t>на ед. изм.</t>
        </is>
      </c>
      <c r="J11" s="263" t="inlineStr">
        <is>
          <t>общая</t>
        </is>
      </c>
      <c r="M11" s="202" t="n"/>
      <c r="N11" s="20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202" t="n"/>
      <c r="N12" s="202" t="n"/>
    </row>
    <row r="13">
      <c r="A13" s="263" t="n"/>
      <c r="B13" s="271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 s="215">
      <c r="A14" s="263" t="n">
        <v>1</v>
      </c>
      <c r="B14" s="134" t="inlineStr">
        <is>
          <t>1-4-0</t>
        </is>
      </c>
      <c r="C14" s="272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40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3" t="n"/>
      <c r="B15" s="263" t="n"/>
      <c r="C15" s="271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40">
        <f>SUM(E14:E14)</f>
        <v/>
      </c>
      <c r="F15" s="30" t="n"/>
      <c r="G15" s="30">
        <f>SUM(G14:G14)</f>
        <v/>
      </c>
      <c r="H15" s="275" t="n">
        <v>1</v>
      </c>
      <c r="I15" s="124" t="n"/>
      <c r="J15" s="30">
        <f>SUM(J14:J14)</f>
        <v/>
      </c>
    </row>
    <row r="16" ht="14.25" customFormat="1" customHeight="1" s="202">
      <c r="A16" s="263" t="n"/>
      <c r="B16" s="272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202">
      <c r="A17" s="263" t="n">
        <v>2</v>
      </c>
      <c r="B17" s="263" t="n">
        <v>2</v>
      </c>
      <c r="C17" s="272" t="inlineStr">
        <is>
          <t>Затраты труда машинистов</t>
        </is>
      </c>
      <c r="D17" s="263" t="inlineStr">
        <is>
          <t>чел.-ч.</t>
        </is>
      </c>
      <c r="E17" s="340" t="n">
        <v>10.38</v>
      </c>
      <c r="F17" s="30">
        <f>G17/E17</f>
        <v/>
      </c>
      <c r="G17" s="30">
        <f>'Прил. 3'!H13</f>
        <v/>
      </c>
      <c r="H17" s="275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3" t="n"/>
      <c r="B18" s="271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202">
      <c r="A19" s="263" t="n"/>
      <c r="B19" s="272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202">
      <c r="A20" s="263" t="n">
        <v>3</v>
      </c>
      <c r="B20" s="134" t="inlineStr">
        <is>
          <t>91.05.05-015</t>
        </is>
      </c>
      <c r="C20" s="272" t="inlineStr">
        <is>
          <t>Краны на автомобильном ходу, грузоподъемность 16 т</t>
        </is>
      </c>
      <c r="D20" s="263" t="inlineStr">
        <is>
          <t>маш.час</t>
        </is>
      </c>
      <c r="E20" s="341" t="n">
        <v>9.640000000000001</v>
      </c>
      <c r="F20" s="274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202">
      <c r="A21" s="263" t="n">
        <v>4</v>
      </c>
      <c r="B21" s="134" t="inlineStr">
        <is>
          <t>91.19.12-021</t>
        </is>
      </c>
      <c r="C21" s="272" t="inlineStr">
        <is>
          <t>Насосы вакуумные 3,6 м3/мин</t>
        </is>
      </c>
      <c r="D21" s="263" t="inlineStr">
        <is>
          <t>маш.час</t>
        </is>
      </c>
      <c r="E21" s="341" t="n">
        <v>24.16</v>
      </c>
      <c r="F21" s="274" t="n">
        <v>6.28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2">
      <c r="A22" s="263" t="n"/>
      <c r="B22" s="263" t="n"/>
      <c r="C22" s="272" t="inlineStr">
        <is>
          <t>Итого основные машины и механизмы</t>
        </is>
      </c>
      <c r="D22" s="263" t="n"/>
      <c r="E22" s="340" t="n"/>
      <c r="F22" s="30" t="n"/>
      <c r="G22" s="30">
        <f>SUM(G20:G21)</f>
        <v/>
      </c>
      <c r="H22" s="275">
        <f>G22/G27</f>
        <v/>
      </c>
      <c r="I22" s="126" t="n"/>
      <c r="J22" s="30">
        <f>SUM(J20:J21)</f>
        <v/>
      </c>
    </row>
    <row r="23" outlineLevel="1" ht="25.5" customFormat="1" customHeight="1" s="202">
      <c r="A23" s="263" t="n">
        <v>5</v>
      </c>
      <c r="B23" s="134" t="inlineStr">
        <is>
          <t>91.03.02-011</t>
        </is>
      </c>
      <c r="C23" s="272" t="inlineStr">
        <is>
          <t>Вентиляторы во взрывобезопасном исполнении</t>
        </is>
      </c>
      <c r="D23" s="263" t="inlineStr">
        <is>
          <t>маш.час</t>
        </is>
      </c>
      <c r="E23" s="341" t="n">
        <v>28.96</v>
      </c>
      <c r="F23" s="274" t="n">
        <v>4.14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202">
      <c r="A24" s="263" t="n">
        <v>6</v>
      </c>
      <c r="B24" s="134" t="inlineStr">
        <is>
          <t>91.14.02-001</t>
        </is>
      </c>
      <c r="C24" s="272" t="inlineStr">
        <is>
          <t>Автомобили бортовые, грузоподъемность до 5 т</t>
        </is>
      </c>
      <c r="D24" s="263" t="inlineStr">
        <is>
          <t>маш.час</t>
        </is>
      </c>
      <c r="E24" s="341" t="n">
        <v>0.74</v>
      </c>
      <c r="F24" s="274" t="n">
        <v>65.70999999999999</v>
      </c>
      <c r="G24" s="30">
        <f>ROUND(E24*F24,2)</f>
        <v/>
      </c>
      <c r="H24" s="127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02">
      <c r="A25" s="263" t="n">
        <v>7</v>
      </c>
      <c r="B25" s="134" t="inlineStr">
        <is>
          <t>91.17.04-233</t>
        </is>
      </c>
      <c r="C25" s="272" t="inlineStr">
        <is>
          <t>Установки для сварки ручной дуговой (постоянного тока)</t>
        </is>
      </c>
      <c r="D25" s="263" t="inlineStr">
        <is>
          <t>маш.час</t>
        </is>
      </c>
      <c r="E25" s="341" t="n">
        <v>3.16</v>
      </c>
      <c r="F25" s="274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63" t="n"/>
      <c r="B26" s="263" t="n"/>
      <c r="C26" s="272" t="inlineStr">
        <is>
          <t>Итого прочие машины и механизмы</t>
        </is>
      </c>
      <c r="D26" s="263" t="n"/>
      <c r="E26" s="273" t="n"/>
      <c r="F26" s="30" t="n"/>
      <c r="G26" s="126">
        <f>SUM(G23:G25)</f>
        <v/>
      </c>
      <c r="H26" s="127">
        <f>G26/G27</f>
        <v/>
      </c>
      <c r="I26" s="30" t="n"/>
      <c r="J26" s="30">
        <f>SUM(J23:J25)</f>
        <v/>
      </c>
    </row>
    <row r="27" ht="25.5" customFormat="1" customHeight="1" s="202">
      <c r="A27" s="263" t="n"/>
      <c r="B27" s="263" t="n"/>
      <c r="C27" s="271" t="inlineStr">
        <is>
          <t>Итого по разделу «Машины и механизмы»</t>
        </is>
      </c>
      <c r="D27" s="263" t="n"/>
      <c r="E27" s="273" t="n"/>
      <c r="F27" s="30" t="n"/>
      <c r="G27" s="30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202">
      <c r="A28" s="263" t="n"/>
      <c r="B28" s="271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3" t="n"/>
      <c r="B29" s="272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>
      <c r="A30" s="263" t="n"/>
      <c r="B30" s="263" t="n"/>
      <c r="C30" s="272" t="inlineStr">
        <is>
          <t>Итого основное оборудование</t>
        </is>
      </c>
      <c r="D30" s="263" t="n"/>
      <c r="E30" s="341" t="n"/>
      <c r="F30" s="274" t="n"/>
      <c r="G30" s="30" t="n">
        <v>0</v>
      </c>
      <c r="H30" s="127" t="n">
        <v>0</v>
      </c>
      <c r="I30" s="126" t="n"/>
      <c r="J30" s="30" t="n">
        <v>0</v>
      </c>
    </row>
    <row r="31">
      <c r="A31" s="263" t="n"/>
      <c r="B31" s="263" t="n"/>
      <c r="C31" s="272" t="inlineStr">
        <is>
          <t>Итого прочее оборудование</t>
        </is>
      </c>
      <c r="D31" s="263" t="n"/>
      <c r="E31" s="340" t="n"/>
      <c r="F31" s="274" t="n"/>
      <c r="G31" s="30" t="n">
        <v>0</v>
      </c>
      <c r="H31" s="127" t="n">
        <v>0</v>
      </c>
      <c r="I31" s="126" t="n"/>
      <c r="J31" s="30" t="n">
        <v>0</v>
      </c>
    </row>
    <row r="32">
      <c r="A32" s="263" t="n"/>
      <c r="B32" s="263" t="n"/>
      <c r="C32" s="271" t="inlineStr">
        <is>
          <t>Итого по разделу «Оборудование»</t>
        </is>
      </c>
      <c r="D32" s="263" t="n"/>
      <c r="E32" s="273" t="n"/>
      <c r="F32" s="274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5">
      <c r="A33" s="263" t="n"/>
      <c r="B33" s="263" t="n"/>
      <c r="C33" s="272" t="inlineStr">
        <is>
          <t>в том числе технологическое оборудование</t>
        </is>
      </c>
      <c r="D33" s="263" t="n"/>
      <c r="E33" s="341" t="n"/>
      <c r="F33" s="274" t="n"/>
      <c r="G33" s="30">
        <f>'Прил.6 Расчет ОБ'!G12</f>
        <v/>
      </c>
      <c r="H33" s="275" t="n"/>
      <c r="I33" s="126" t="n"/>
      <c r="J33" s="30">
        <f>J32</f>
        <v/>
      </c>
    </row>
    <row r="34" ht="14.25" customFormat="1" customHeight="1" s="202">
      <c r="A34" s="263" t="n"/>
      <c r="B34" s="271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4" t="n"/>
      <c r="J34" s="124" t="n"/>
    </row>
    <row r="35" ht="14.25" customFormat="1" customHeight="1" s="202">
      <c r="A35" s="264" t="n"/>
      <c r="B35" s="267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37" t="n"/>
      <c r="J35" s="137" t="n"/>
    </row>
    <row r="36" ht="25.5" customFormat="1" customHeight="1" s="202">
      <c r="A36" s="263" t="n">
        <v>8</v>
      </c>
      <c r="B36" s="263" t="inlineStr">
        <is>
          <t>БЦ.91.88</t>
        </is>
      </c>
      <c r="C36" s="159" t="inlineStr">
        <is>
          <t>Муфта концевая 110 кВ сечением 2000 мм2</t>
        </is>
      </c>
      <c r="D36" s="263" t="inlineStr">
        <is>
          <t>шт</t>
        </is>
      </c>
      <c r="E36" s="341" t="n">
        <v>6</v>
      </c>
      <c r="F36" s="274">
        <f>ROUND(I36/'Прил. 10'!$D$13,2)</f>
        <v/>
      </c>
      <c r="G36" s="30">
        <f>ROUND(E36*F36,2)</f>
        <v/>
      </c>
      <c r="H36" s="127">
        <f>G36/$G$52</f>
        <v/>
      </c>
      <c r="I36" s="30" t="n">
        <v>537735.85</v>
      </c>
      <c r="J36" s="30">
        <f>ROUND(I36*E36,2)</f>
        <v/>
      </c>
    </row>
    <row r="37" ht="14.25" customFormat="1" customHeight="1" s="202">
      <c r="A37" s="265" t="n"/>
      <c r="B37" s="139" t="n"/>
      <c r="C37" s="140" t="inlineStr">
        <is>
          <t>Итого основные материалы</t>
        </is>
      </c>
      <c r="D37" s="265" t="n"/>
      <c r="E37" s="344" t="n"/>
      <c r="F37" s="130" t="n"/>
      <c r="G37" s="130">
        <f>SUM(G36:G36)</f>
        <v/>
      </c>
      <c r="H37" s="127">
        <f>G37/$G$52</f>
        <v/>
      </c>
      <c r="I37" s="30" t="n"/>
      <c r="J37" s="130">
        <f>SUM(J36:J36)</f>
        <v/>
      </c>
    </row>
    <row r="38" outlineLevel="1" ht="14.25" customFormat="1" customHeight="1" s="202">
      <c r="A38" s="263" t="n">
        <v>9</v>
      </c>
      <c r="B38" s="134" t="inlineStr">
        <is>
          <t>01.1.02.01-0003</t>
        </is>
      </c>
      <c r="C38" s="272" t="inlineStr">
        <is>
          <t>Асботекстолит, марка Г</t>
        </is>
      </c>
      <c r="D38" s="263" t="inlineStr">
        <is>
          <t>т</t>
        </is>
      </c>
      <c r="E38" s="341" t="n">
        <v>0.012</v>
      </c>
      <c r="F38" s="274" t="n">
        <v>161000</v>
      </c>
      <c r="G38" s="30">
        <f>ROUND(E38*F38,2)</f>
        <v/>
      </c>
      <c r="H38" s="127">
        <f>G38/$G$52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202">
      <c r="A39" s="263" t="n">
        <v>10</v>
      </c>
      <c r="B39" s="134" t="inlineStr">
        <is>
          <t>10.3.02.03-0011</t>
        </is>
      </c>
      <c r="C39" s="272" t="inlineStr">
        <is>
          <t>Припои оловянно-свинцовые бессурьмянистые, марка ПОС30</t>
        </is>
      </c>
      <c r="D39" s="263" t="inlineStr">
        <is>
          <t>т</t>
        </is>
      </c>
      <c r="E39" s="341" t="n">
        <v>0.01892</v>
      </c>
      <c r="F39" s="274" t="n">
        <v>68050</v>
      </c>
      <c r="G39" s="30">
        <f>ROUND(E39*F39,2)</f>
        <v/>
      </c>
      <c r="H39" s="127">
        <f>G39/$G$52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02">
      <c r="A40" s="263" t="n">
        <v>11</v>
      </c>
      <c r="B40" s="134" t="inlineStr">
        <is>
          <t>01.7.03.04-0001</t>
        </is>
      </c>
      <c r="C40" s="272" t="inlineStr">
        <is>
          <t>Электроэнергия</t>
        </is>
      </c>
      <c r="D40" s="263" t="inlineStr">
        <is>
          <t>кВт-ч</t>
        </is>
      </c>
      <c r="E40" s="341" t="n">
        <v>1482.62</v>
      </c>
      <c r="F40" s="274" t="n">
        <v>0.4</v>
      </c>
      <c r="G40" s="30">
        <f>ROUND(E40*F40,2)</f>
        <v/>
      </c>
      <c r="H40" s="127">
        <f>G40/$G$52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2">
      <c r="A41" s="263" t="n">
        <v>12</v>
      </c>
      <c r="B41" s="134" t="inlineStr">
        <is>
          <t>14.2.06.05-0212</t>
        </is>
      </c>
      <c r="C41" s="272" t="inlineStr">
        <is>
          <t>Компаунд эпоксидный</t>
        </is>
      </c>
      <c r="D41" s="263" t="inlineStr">
        <is>
          <t>кг</t>
        </is>
      </c>
      <c r="E41" s="341" t="n">
        <v>4.8</v>
      </c>
      <c r="F41" s="274" t="n">
        <v>68.8</v>
      </c>
      <c r="G41" s="30">
        <f>ROUND(E41*F41,2)</f>
        <v/>
      </c>
      <c r="H41" s="127">
        <f>G41/$G$52</f>
        <v/>
      </c>
      <c r="I41" s="30">
        <f>ROUND(F41*'Прил. 10'!$D$13,2)</f>
        <v/>
      </c>
      <c r="J41" s="30">
        <f>ROUND(I41*E41,2)</f>
        <v/>
      </c>
    </row>
    <row r="42" outlineLevel="1" ht="38.25" customFormat="1" customHeight="1" s="202">
      <c r="A42" s="263" t="n">
        <v>13</v>
      </c>
      <c r="B42" s="134" t="inlineStr">
        <is>
          <t>01.7.06.05-0041</t>
        </is>
      </c>
      <c r="C42" s="272" t="inlineStr">
        <is>
          <t>Лента изоляционная прорезиненная односторонняя, ширина 20 мм, толщина 0,25-0,35 мм</t>
        </is>
      </c>
      <c r="D42" s="263" t="inlineStr">
        <is>
          <t>кг</t>
        </is>
      </c>
      <c r="E42" s="341" t="n">
        <v>6.64</v>
      </c>
      <c r="F42" s="274" t="n">
        <v>30.4</v>
      </c>
      <c r="G42" s="30">
        <f>ROUND(E42*F42,2)</f>
        <v/>
      </c>
      <c r="H42" s="127">
        <f>G42/$G$52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202">
      <c r="A43" s="263" t="n">
        <v>14</v>
      </c>
      <c r="B43" s="134" t="inlineStr">
        <is>
          <t>10.2.02.08-0001</t>
        </is>
      </c>
      <c r="C43" s="272" t="inlineStr">
        <is>
          <t>Проволока медная, круглая, мягкая, электротехническая, диаметр 1,0-3,0 мм и выше</t>
        </is>
      </c>
      <c r="D43" s="263" t="inlineStr">
        <is>
          <t>т</t>
        </is>
      </c>
      <c r="E43" s="341" t="n">
        <v>0.005</v>
      </c>
      <c r="F43" s="274" t="n">
        <v>37517</v>
      </c>
      <c r="G43" s="30">
        <f>ROUND(E43*F43,2)</f>
        <v/>
      </c>
      <c r="H43" s="127">
        <f>G43/$G$52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2">
      <c r="A44" s="263" t="n">
        <v>15</v>
      </c>
      <c r="B44" s="134" t="inlineStr">
        <is>
          <t>01.3.02.09-0022</t>
        </is>
      </c>
      <c r="C44" s="272" t="inlineStr">
        <is>
          <t>Пропан-бутан смесь техническая</t>
        </is>
      </c>
      <c r="D44" s="263" t="inlineStr">
        <is>
          <t>кг</t>
        </is>
      </c>
      <c r="E44" s="341" t="n">
        <v>22</v>
      </c>
      <c r="F44" s="274" t="n">
        <v>6.09</v>
      </c>
      <c r="G44" s="30">
        <f>ROUND(E44*F44,2)</f>
        <v/>
      </c>
      <c r="H44" s="127">
        <f>G44/$G$52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02">
      <c r="A45" s="263" t="n">
        <v>16</v>
      </c>
      <c r="B45" s="134" t="inlineStr">
        <is>
          <t>01.7.11.07-0034</t>
        </is>
      </c>
      <c r="C45" s="272" t="inlineStr">
        <is>
          <t>Электроды сварочные Э42А, диаметр 4 мм</t>
        </is>
      </c>
      <c r="D45" s="263" t="inlineStr">
        <is>
          <t>кг</t>
        </is>
      </c>
      <c r="E45" s="341" t="n">
        <v>6.6</v>
      </c>
      <c r="F45" s="274" t="n">
        <v>10.57</v>
      </c>
      <c r="G45" s="30">
        <f>ROUND(E45*F45,2)</f>
        <v/>
      </c>
      <c r="H45" s="127">
        <f>G45/$G$52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202">
      <c r="A46" s="263" t="n">
        <v>17</v>
      </c>
      <c r="B46" s="134" t="inlineStr">
        <is>
          <t>14.4.02.09-0001</t>
        </is>
      </c>
      <c r="C46" s="272" t="inlineStr">
        <is>
          <t>Краска</t>
        </is>
      </c>
      <c r="D46" s="263" t="inlineStr">
        <is>
          <t>кг</t>
        </is>
      </c>
      <c r="E46" s="341" t="n">
        <v>2.4</v>
      </c>
      <c r="F46" s="274" t="n">
        <v>28.6</v>
      </c>
      <c r="G46" s="30">
        <f>ROUND(E46*F46,2)</f>
        <v/>
      </c>
      <c r="H46" s="127">
        <f>G46/$G$52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2">
      <c r="A47" s="263" t="n">
        <v>18</v>
      </c>
      <c r="B47" s="134" t="inlineStr">
        <is>
          <t>01.7.20.08-0031</t>
        </is>
      </c>
      <c r="C47" s="272" t="inlineStr">
        <is>
          <t>Бязь суровая</t>
        </is>
      </c>
      <c r="D47" s="263" t="inlineStr">
        <is>
          <t>10 м2</t>
        </is>
      </c>
      <c r="E47" s="341" t="n">
        <v>0.6</v>
      </c>
      <c r="F47" s="274" t="n">
        <v>79.09999999999999</v>
      </c>
      <c r="G47" s="30">
        <f>ROUND(E47*F47,2)</f>
        <v/>
      </c>
      <c r="H47" s="127">
        <f>G47/$G$52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2">
      <c r="A48" s="263" t="n">
        <v>19</v>
      </c>
      <c r="B48" s="134" t="inlineStr">
        <is>
          <t>01.3.01.05-0009</t>
        </is>
      </c>
      <c r="C48" s="272" t="inlineStr">
        <is>
          <t>Парафин нефтяной твердый Т-1</t>
        </is>
      </c>
      <c r="D48" s="263" t="inlineStr">
        <is>
          <t>т</t>
        </is>
      </c>
      <c r="E48" s="341" t="n">
        <v>0.00378</v>
      </c>
      <c r="F48" s="274" t="n">
        <v>8105.71</v>
      </c>
      <c r="G48" s="30">
        <f>ROUND(E48*F48,2)</f>
        <v/>
      </c>
      <c r="H48" s="127">
        <f>G48/$G$52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2">
      <c r="A49" s="263" t="n">
        <v>20</v>
      </c>
      <c r="B49" s="134" t="inlineStr">
        <is>
          <t>25.1.01.04-0031</t>
        </is>
      </c>
      <c r="C49" s="272" t="inlineStr">
        <is>
          <t>Шпалы непропитанные для железных дорог, тип I</t>
        </is>
      </c>
      <c r="D49" s="263" t="inlineStr">
        <is>
          <t>шт</t>
        </is>
      </c>
      <c r="E49" s="341" t="n">
        <v>0.104</v>
      </c>
      <c r="F49" s="274" t="n">
        <v>266.67</v>
      </c>
      <c r="G49" s="30">
        <f>ROUND(E49*F49,2)</f>
        <v/>
      </c>
      <c r="H49" s="127">
        <f>G49/$G$52</f>
        <v/>
      </c>
      <c r="I49" s="30">
        <f>ROUND(F49*'Прил. 10'!$D$13,2)</f>
        <v/>
      </c>
      <c r="J49" s="30">
        <f>ROUND(I49*E49,2)</f>
        <v/>
      </c>
    </row>
    <row r="50" outlineLevel="1" ht="14.25" customFormat="1" customHeight="1" s="202">
      <c r="A50" s="263" t="n">
        <v>21</v>
      </c>
      <c r="B50" s="134" t="inlineStr">
        <is>
          <t>20.1.02.06-0001</t>
        </is>
      </c>
      <c r="C50" s="272" t="inlineStr">
        <is>
          <t>Жир паяльный</t>
        </is>
      </c>
      <c r="D50" s="263" t="inlineStr">
        <is>
          <t>кг</t>
        </is>
      </c>
      <c r="E50" s="341" t="n">
        <v>0.18</v>
      </c>
      <c r="F50" s="274" t="n">
        <v>100.8</v>
      </c>
      <c r="G50" s="30">
        <f>ROUND(E50*F50,2)</f>
        <v/>
      </c>
      <c r="H50" s="127">
        <f>G50/$G$52</f>
        <v/>
      </c>
      <c r="I50" s="30">
        <f>ROUND(F50*'Прил. 10'!$D$13,2)</f>
        <v/>
      </c>
      <c r="J50" s="30">
        <f>ROUND(I50*E50,2)</f>
        <v/>
      </c>
    </row>
    <row r="51" ht="14.25" customFormat="1" customHeight="1" s="202">
      <c r="A51" s="265" t="n"/>
      <c r="B51" s="265" t="n"/>
      <c r="C51" s="140" t="inlineStr">
        <is>
          <t>Итого прочие материалы</t>
        </is>
      </c>
      <c r="D51" s="265" t="n"/>
      <c r="E51" s="344" t="n"/>
      <c r="F51" s="169" t="n"/>
      <c r="G51" s="130">
        <f>SUM(G38:G50)</f>
        <v/>
      </c>
      <c r="H51" s="127">
        <f>G51/$G$52</f>
        <v/>
      </c>
      <c r="I51" s="30" t="n"/>
      <c r="J51" s="30">
        <f>SUM(J38:J50)</f>
        <v/>
      </c>
    </row>
    <row r="52" ht="14.25" customFormat="1" customHeight="1" s="202">
      <c r="A52" s="263" t="n"/>
      <c r="B52" s="263" t="n"/>
      <c r="C52" s="271" t="inlineStr">
        <is>
          <t>Итого по разделу «Материалы»</t>
        </is>
      </c>
      <c r="D52" s="263" t="n"/>
      <c r="E52" s="273" t="n"/>
      <c r="F52" s="274" t="n"/>
      <c r="G52" s="30">
        <f>G37+G51</f>
        <v/>
      </c>
      <c r="H52" s="275">
        <f>G52/$G$52</f>
        <v/>
      </c>
      <c r="I52" s="30" t="n"/>
      <c r="J52" s="30">
        <f>J37+J51</f>
        <v/>
      </c>
    </row>
    <row r="53" ht="14.25" customFormat="1" customHeight="1" s="202">
      <c r="A53" s="263" t="n"/>
      <c r="B53" s="263" t="n"/>
      <c r="C53" s="272" t="inlineStr">
        <is>
          <t>ИТОГО ПО РМ</t>
        </is>
      </c>
      <c r="D53" s="263" t="n"/>
      <c r="E53" s="273" t="n"/>
      <c r="F53" s="274" t="n"/>
      <c r="G53" s="30">
        <f>G15+G27+G52</f>
        <v/>
      </c>
      <c r="H53" s="275" t="n"/>
      <c r="I53" s="30" t="n"/>
      <c r="J53" s="30">
        <f>J15+J27+J52</f>
        <v/>
      </c>
    </row>
    <row r="54" ht="14.25" customFormat="1" customHeight="1" s="202">
      <c r="A54" s="263" t="n"/>
      <c r="B54" s="263" t="n"/>
      <c r="C54" s="272" t="inlineStr">
        <is>
          <t>Накладные расходы</t>
        </is>
      </c>
      <c r="D54" s="132">
        <f>ROUND(G54/(G$17+$G$15),2)</f>
        <v/>
      </c>
      <c r="E54" s="273" t="n"/>
      <c r="F54" s="274" t="n"/>
      <c r="G54" s="30" t="n">
        <v>3583.45</v>
      </c>
      <c r="H54" s="275" t="n"/>
      <c r="I54" s="30" t="n"/>
      <c r="J54" s="30">
        <f>ROUND(D54*(J15+J17),2)</f>
        <v/>
      </c>
    </row>
    <row r="55" ht="14.25" customFormat="1" customHeight="1" s="202">
      <c r="A55" s="263" t="n"/>
      <c r="B55" s="263" t="n"/>
      <c r="C55" s="272" t="inlineStr">
        <is>
          <t>Сметная прибыль</t>
        </is>
      </c>
      <c r="D55" s="132">
        <f>ROUND(G55/(G$15+G$17),2)</f>
        <v/>
      </c>
      <c r="E55" s="273" t="n"/>
      <c r="F55" s="274" t="n"/>
      <c r="G55" s="30" t="n">
        <v>1884.08</v>
      </c>
      <c r="H55" s="275" t="n"/>
      <c r="I55" s="30" t="n"/>
      <c r="J55" s="30">
        <f>ROUND(D55*(J15+J17),2)</f>
        <v/>
      </c>
    </row>
    <row r="56" ht="14.25" customFormat="1" customHeight="1" s="202">
      <c r="A56" s="263" t="n"/>
      <c r="B56" s="263" t="n"/>
      <c r="C56" s="272" t="inlineStr">
        <is>
          <t>Итого СМР (с НР и СП)</t>
        </is>
      </c>
      <c r="D56" s="263" t="n"/>
      <c r="E56" s="273" t="n"/>
      <c r="F56" s="274" t="n"/>
      <c r="G56" s="30">
        <f>G15+G27+G52+G54+G55</f>
        <v/>
      </c>
      <c r="H56" s="275" t="n"/>
      <c r="I56" s="30" t="n"/>
      <c r="J56" s="30">
        <f>J15+J27+J52+J54+J55</f>
        <v/>
      </c>
    </row>
    <row r="57" ht="14.25" customFormat="1" customHeight="1" s="202">
      <c r="A57" s="263" t="n"/>
      <c r="B57" s="263" t="n"/>
      <c r="C57" s="272" t="inlineStr">
        <is>
          <t>ВСЕГО СМР + ОБОРУДОВАНИЕ</t>
        </is>
      </c>
      <c r="D57" s="263" t="n"/>
      <c r="E57" s="273" t="n"/>
      <c r="F57" s="274" t="n"/>
      <c r="G57" s="30">
        <f>G56+G32</f>
        <v/>
      </c>
      <c r="H57" s="275" t="n"/>
      <c r="I57" s="30" t="n"/>
      <c r="J57" s="30">
        <f>J56+J32</f>
        <v/>
      </c>
    </row>
    <row r="58" ht="34.5" customFormat="1" customHeight="1" s="202">
      <c r="A58" s="263" t="n"/>
      <c r="B58" s="263" t="n"/>
      <c r="C58" s="272" t="inlineStr">
        <is>
          <t>ИТОГО ПОКАЗАТЕЛЬ НА ЕД. ИЗМ.</t>
        </is>
      </c>
      <c r="D58" s="263" t="inlineStr">
        <is>
          <t>1 ед</t>
        </is>
      </c>
      <c r="E58" s="341" t="n">
        <v>1</v>
      </c>
      <c r="F58" s="274" t="n"/>
      <c r="G58" s="30">
        <f>G57/E58</f>
        <v/>
      </c>
      <c r="H58" s="275" t="n"/>
      <c r="I58" s="30" t="n"/>
      <c r="J58" s="30">
        <f>J57/E58</f>
        <v/>
      </c>
    </row>
    <row r="60" ht="14.25" customFormat="1" customHeight="1" s="202">
      <c r="A60" s="192" t="inlineStr">
        <is>
          <t>Составил ______________________    А.Р. Маркова</t>
        </is>
      </c>
    </row>
    <row r="61" ht="14.25" customFormat="1" customHeight="1" s="202">
      <c r="A61" s="203" t="inlineStr">
        <is>
          <t xml:space="preserve">                         (подпись, инициалы, фамилия)</t>
        </is>
      </c>
    </row>
    <row r="62" ht="14.25" customFormat="1" customHeight="1" s="202">
      <c r="A62" s="192" t="n"/>
    </row>
    <row r="63" ht="14.25" customFormat="1" customHeight="1" s="202">
      <c r="A63" s="192" t="inlineStr">
        <is>
          <t>Проверил ______________________        А.В. Костянецкая</t>
        </is>
      </c>
    </row>
    <row r="64" ht="14.25" customFormat="1" customHeight="1" s="202">
      <c r="A64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  <rowBreaks count="1" manualBreakCount="1">
    <brk id="5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5" min="1" max="1"/>
    <col width="17.5546875" customWidth="1" style="215" min="2" max="2"/>
    <col width="39.109375" customWidth="1" style="215" min="3" max="3"/>
    <col width="10.6640625" customWidth="1" style="215" min="4" max="4"/>
    <col width="13.88671875" customWidth="1" style="215" min="5" max="5"/>
    <col width="13.33203125" customWidth="1" style="215" min="6" max="6"/>
    <col width="14.109375" customWidth="1" style="215" min="7" max="7"/>
  </cols>
  <sheetData>
    <row r="1">
      <c r="A1" s="280" t="inlineStr">
        <is>
          <t>Приложение №6</t>
        </is>
      </c>
    </row>
    <row r="2" ht="21.75" customHeight="1" s="215">
      <c r="A2" s="280" t="n"/>
      <c r="B2" s="280" t="n"/>
      <c r="C2" s="280" t="n"/>
      <c r="D2" s="280" t="n"/>
      <c r="E2" s="280" t="n"/>
      <c r="F2" s="280" t="n"/>
      <c r="G2" s="280" t="n"/>
    </row>
    <row r="3">
      <c r="A3" s="237" t="inlineStr">
        <is>
          <t>Расчет стоимости оборудования</t>
        </is>
      </c>
    </row>
    <row r="4" ht="25.5" customHeight="1" s="215">
      <c r="A4" s="240" t="inlineStr">
        <is>
          <t>Наименование разрабатываемого показателя УНЦ — КЛ 110(150) кВ (с алюминиевой жилой) сечение жилы 2000 мм2. Муфта концевая 110 кВ сечением 2000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15" customHeight="1" s="215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63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5">
      <c r="A9" s="24" t="n"/>
      <c r="B9" s="272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5">
      <c r="A10" s="263" t="n"/>
      <c r="B10" s="271" t="n"/>
      <c r="C10" s="272" t="inlineStr">
        <is>
          <t>ИТОГО ИНЖЕНЕРНОЕ ОБОРУДОВАНИЕ</t>
        </is>
      </c>
      <c r="D10" s="271" t="n"/>
      <c r="E10" s="103" t="n"/>
      <c r="F10" s="274" t="n"/>
      <c r="G10" s="274" t="n">
        <v>0</v>
      </c>
    </row>
    <row r="11">
      <c r="A11" s="263" t="n"/>
      <c r="B11" s="272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5">
      <c r="A12" s="263" t="n"/>
      <c r="B12" s="272" t="n"/>
      <c r="C12" s="272" t="inlineStr">
        <is>
          <t>ИТОГО ТЕХНОЛОГИЧЕСКОЕ ОБОРУДОВАНИЕ</t>
        </is>
      </c>
      <c r="D12" s="272" t="n"/>
      <c r="E12" s="284" t="n"/>
      <c r="F12" s="274" t="n"/>
      <c r="G12" s="30" t="n">
        <v>0</v>
      </c>
    </row>
    <row r="13" ht="19.5" customHeight="1" s="215">
      <c r="A13" s="263" t="n"/>
      <c r="B13" s="272" t="n"/>
      <c r="C13" s="272" t="inlineStr">
        <is>
          <t>Всего по разделу «Оборудование»</t>
        </is>
      </c>
      <c r="D13" s="272" t="n"/>
      <c r="E13" s="284" t="n"/>
      <c r="F13" s="274" t="n"/>
      <c r="G13" s="30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5" min="1" max="1"/>
    <col width="29.5546875" customWidth="1" style="215" min="2" max="2"/>
    <col width="39.109375" customWidth="1" style="215" min="3" max="3"/>
    <col width="48.109375" customWidth="1" style="215" min="4" max="4"/>
    <col width="8.88671875" customWidth="1" style="215" min="5" max="5"/>
  </cols>
  <sheetData>
    <row r="1">
      <c r="B1" s="192" t="n"/>
      <c r="C1" s="192" t="n"/>
      <c r="D1" s="280" t="inlineStr">
        <is>
          <t>Приложение №7</t>
        </is>
      </c>
    </row>
    <row r="2" ht="25.95" customHeight="1" s="215">
      <c r="A2" s="280" t="n"/>
      <c r="B2" s="280" t="n"/>
      <c r="C2" s="280" t="n"/>
      <c r="D2" s="280" t="n"/>
    </row>
    <row r="3" ht="24.75" customHeight="1" s="215">
      <c r="A3" s="237" t="inlineStr">
        <is>
          <t>Расчет показателя УНЦ</t>
        </is>
      </c>
    </row>
    <row r="4" ht="24.75" customHeight="1" s="215">
      <c r="A4" s="237" t="n"/>
      <c r="B4" s="237" t="n"/>
      <c r="C4" s="237" t="n"/>
      <c r="D4" s="237" t="n"/>
    </row>
    <row r="5" ht="24.6" customHeight="1" s="215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5" customHeight="1" s="215">
      <c r="A6" s="240" t="inlineStr">
        <is>
          <t>Единица измерения  — 1 ед</t>
        </is>
      </c>
      <c r="D6" s="240" t="n"/>
    </row>
    <row r="7">
      <c r="A7" s="192" t="n"/>
      <c r="B7" s="192" t="n"/>
      <c r="C7" s="192" t="n"/>
      <c r="D7" s="192" t="n"/>
    </row>
    <row r="8" ht="14.4" customHeight="1" s="215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5">
      <c r="A9" s="334" t="n"/>
      <c r="B9" s="334" t="n"/>
      <c r="C9" s="334" t="n"/>
      <c r="D9" s="334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5">
      <c r="A11" s="263" t="inlineStr">
        <is>
          <t>К1-18-5</t>
        </is>
      </c>
      <c r="B11" s="263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4" sqref="B24"/>
    </sheetView>
  </sheetViews>
  <sheetFormatPr baseColWidth="8" defaultColWidth="9.109375" defaultRowHeight="14.4"/>
  <cols>
    <col width="40.6640625" customWidth="1" style="215" min="2" max="2"/>
    <col width="37" customWidth="1" style="215" min="3" max="3"/>
    <col width="32" customWidth="1" style="215" min="4" max="4"/>
  </cols>
  <sheetData>
    <row r="4" ht="15.75" customHeight="1" s="215">
      <c r="B4" s="245" t="inlineStr">
        <is>
          <t>Приложение № 10</t>
        </is>
      </c>
    </row>
    <row r="5" ht="18.75" customHeight="1" s="215">
      <c r="B5" s="117" t="n"/>
    </row>
    <row r="6" ht="15.75" customHeight="1" s="21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5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5">
      <c r="B10" s="250" t="n">
        <v>1</v>
      </c>
      <c r="C10" s="250" t="n">
        <v>2</v>
      </c>
      <c r="D10" s="250" t="n">
        <v>3</v>
      </c>
    </row>
    <row r="11" ht="47.25" customHeight="1" s="215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47.25" customHeight="1" s="215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10.77</v>
      </c>
    </row>
    <row r="13" ht="47.25" customHeight="1" s="215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4.39</v>
      </c>
    </row>
    <row r="14" ht="30.75" customHeight="1" s="215">
      <c r="B14" s="250" t="inlineStr">
        <is>
          <t>Индекс изменения сметной стоимости на 1 квартал 2023 года. ОБ</t>
        </is>
      </c>
      <c r="C14" s="184" t="inlineStr">
        <is>
          <t>Письмо Минстроя России от 23.02.2023г. №9791-ИФ/09 прил.6</t>
        </is>
      </c>
      <c r="D14" s="250" t="n">
        <v>6.26</v>
      </c>
    </row>
    <row r="15" ht="89.40000000000001" customHeight="1" s="215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5" t="n">
        <v>0.039</v>
      </c>
    </row>
    <row r="16" ht="78.75" customHeight="1" s="215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5" t="n">
        <v>0.021</v>
      </c>
    </row>
    <row r="17" ht="15.75" customHeight="1" s="215">
      <c r="B17" s="250" t="inlineStr">
        <is>
          <t>Пусконаладочные работы*</t>
        </is>
      </c>
      <c r="C17" s="250" t="n"/>
      <c r="D17" s="205" t="inlineStr">
        <is>
          <t>Расчет</t>
        </is>
      </c>
    </row>
    <row r="18" ht="31.65" customHeight="1" s="215">
      <c r="B18" s="250" t="inlineStr">
        <is>
          <t>Строительный контроль</t>
        </is>
      </c>
      <c r="C18" s="250" t="inlineStr">
        <is>
          <t>Постановление Правительства РФ от 21.06.10 г. № 468</t>
        </is>
      </c>
      <c r="D18" s="205" t="n">
        <v>0.0214</v>
      </c>
    </row>
    <row r="19" ht="31.65" customHeight="1" s="215">
      <c r="B19" s="250" t="inlineStr">
        <is>
          <t>Авторский надзор - 0,2%</t>
        </is>
      </c>
      <c r="C19" s="250" t="inlineStr">
        <is>
          <t>Приказ от 4.08.2020 № 421/пр п.173</t>
        </is>
      </c>
      <c r="D19" s="205" t="n">
        <v>0.002</v>
      </c>
    </row>
    <row r="20" ht="24" customHeight="1" s="215">
      <c r="B20" s="250" t="inlineStr">
        <is>
          <t>Непредвиденные расходы</t>
        </is>
      </c>
      <c r="C20" s="250" t="inlineStr">
        <is>
          <t>Приказ от 4.08.2020 № 421/пр п.179</t>
        </is>
      </c>
      <c r="D20" s="205" t="n">
        <v>0.03</v>
      </c>
    </row>
    <row r="21" ht="18.75" customHeight="1" s="215">
      <c r="B21" s="178" t="n"/>
    </row>
    <row r="22" ht="18.75" customHeight="1" s="215">
      <c r="B22" s="178" t="n"/>
    </row>
    <row r="23" ht="18.75" customHeight="1" s="215">
      <c r="B23" s="178" t="n"/>
    </row>
    <row r="24" ht="18.75" customHeight="1" s="215">
      <c r="B24" s="178" t="n"/>
    </row>
    <row r="27">
      <c r="B27" s="192" t="inlineStr">
        <is>
          <t>Составил ______________________        Е.А. Князева</t>
        </is>
      </c>
      <c r="C27" s="202" t="n"/>
    </row>
    <row r="28">
      <c r="B28" s="203" t="inlineStr">
        <is>
          <t xml:space="preserve">                         (подпись, инициалы, фамилия)</t>
        </is>
      </c>
      <c r="C28" s="202" t="n"/>
    </row>
    <row r="29">
      <c r="B29" s="192" t="n"/>
      <c r="C29" s="202" t="n"/>
    </row>
    <row r="30">
      <c r="B30" s="192" t="inlineStr">
        <is>
          <t>Проверил ______________________        А.В. Костянецкая</t>
        </is>
      </c>
      <c r="C30" s="202" t="n"/>
    </row>
    <row r="31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215" min="2" max="2"/>
    <col width="13" customWidth="1" style="215" min="3" max="3"/>
    <col width="22.88671875" customWidth="1" style="215" min="4" max="4"/>
    <col width="21.5546875" customWidth="1" style="215" min="5" max="5"/>
    <col width="43.88671875" customWidth="1" style="215" min="6" max="6"/>
  </cols>
  <sheetData>
    <row r="1" s="215"/>
    <row r="2" ht="17.25" customHeight="1" s="21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0" t="n"/>
      <c r="D10" s="250" t="n"/>
      <c r="E10" s="345" t="n">
        <v>4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46" t="n">
        <v>1.34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47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2025-01-24T12:04:42Z</dcterms:modified>
  <cp:lastModifiedBy>user1</cp:lastModifiedBy>
</cp:coreProperties>
</file>