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3" fontId="16" fillId="0" borderId="0" pivotButton="0" quotePrefix="0" xfId="0"/>
    <xf numFmtId="0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38" sqref="D38"/>
    </sheetView>
  </sheetViews>
  <sheetFormatPr baseColWidth="8" defaultColWidth="9.140625" defaultRowHeight="15.75"/>
  <cols>
    <col width="9.140625" customWidth="1" style="136" min="1" max="2"/>
    <col width="51.7109375" customWidth="1" style="136" min="3" max="3"/>
    <col width="47" customWidth="1" style="136" min="4" max="4"/>
    <col width="9.7109375" customWidth="1" style="136" min="5" max="5"/>
    <col width="9.140625" customWidth="1" style="136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0" t="n"/>
      <c r="C6" s="160" t="n"/>
      <c r="D6" s="160" t="n"/>
    </row>
    <row r="7">
      <c r="B7" s="227" t="inlineStr">
        <is>
          <t>Наименование разрабатываемого показателя УНЦ - Муфта концевая 6 кВ сечением 35 мм2.</t>
        </is>
      </c>
    </row>
    <row r="8">
      <c r="B8" s="227" t="inlineStr">
        <is>
          <t>Сопоставимый уровень цен: 2 квартал 2018 года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5" t="n"/>
    </row>
    <row r="12" ht="96.75" customHeight="1">
      <c r="B12" s="231" t="n">
        <v>1</v>
      </c>
      <c r="C12" s="235" t="inlineStr">
        <is>
          <t>Наименование объекта-представителя</t>
        </is>
      </c>
      <c r="D12" s="23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1" t="n">
        <v>2</v>
      </c>
      <c r="C13" s="235" t="inlineStr">
        <is>
          <t>Наименование субъекта Российской Федерации</t>
        </is>
      </c>
      <c r="D13" s="231" t="inlineStr">
        <is>
          <t>Челябинская область</t>
        </is>
      </c>
    </row>
    <row r="14">
      <c r="B14" s="231" t="n">
        <v>3</v>
      </c>
      <c r="C14" s="235" t="inlineStr">
        <is>
          <t>Климатический район и подрайон</t>
        </is>
      </c>
      <c r="D14" s="231" t="inlineStr">
        <is>
          <t>IВ</t>
        </is>
      </c>
    </row>
    <row r="15">
      <c r="B15" s="231" t="n">
        <v>4</v>
      </c>
      <c r="C15" s="235" t="inlineStr">
        <is>
          <t>Мощность объекта</t>
        </is>
      </c>
      <c r="D15" s="231" t="n">
        <v>1</v>
      </c>
    </row>
    <row r="16" ht="63" customHeight="1">
      <c r="B16" s="23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Муфта концевая 6 кВ сечением 35 мм2</t>
        </is>
      </c>
    </row>
    <row r="17" ht="63" customHeight="1">
      <c r="B17" s="23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>
        <f>D18+D19+D20+D21</f>
        <v/>
      </c>
      <c r="E17" s="159" t="n"/>
    </row>
    <row r="18">
      <c r="B18" s="144" t="inlineStr">
        <is>
          <t>6.1</t>
        </is>
      </c>
      <c r="C18" s="235" t="inlineStr">
        <is>
          <t>строительно-монтажные работы</t>
        </is>
      </c>
      <c r="D18" s="192" t="n">
        <v>14.34</v>
      </c>
    </row>
    <row r="19" ht="15.75" customHeight="1">
      <c r="B19" s="144" t="inlineStr">
        <is>
          <t>6.2</t>
        </is>
      </c>
      <c r="C19" s="235" t="inlineStr">
        <is>
          <t>оборудование и инвентарь</t>
        </is>
      </c>
      <c r="D19" s="192" t="n"/>
    </row>
    <row r="20" ht="16.5" customHeight="1">
      <c r="B20" s="144" t="inlineStr">
        <is>
          <t>6.3</t>
        </is>
      </c>
      <c r="C20" s="235" t="inlineStr">
        <is>
          <t>пусконаладочные работы</t>
        </is>
      </c>
      <c r="D20" s="192" t="n"/>
    </row>
    <row r="21">
      <c r="B21" s="144" t="inlineStr">
        <is>
          <t>6.4</t>
        </is>
      </c>
      <c r="C21" s="143" t="inlineStr">
        <is>
          <t>прочие и лимитированные затраты</t>
        </is>
      </c>
      <c r="D21" s="192">
        <f>D18*2.5%+(D18+D18*2.5%)*2.9%</f>
        <v/>
      </c>
    </row>
    <row r="22">
      <c r="B22" s="231" t="n">
        <v>7</v>
      </c>
      <c r="C22" s="143" t="inlineStr">
        <is>
          <t>Сопоставимый уровень цен</t>
        </is>
      </c>
      <c r="D22" s="199" t="inlineStr">
        <is>
          <t>2 квартал 2018 года</t>
        </is>
      </c>
      <c r="E22" s="141" t="n"/>
    </row>
    <row r="23" ht="78.75" customHeight="1">
      <c r="B23" s="23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>
        <f>D17</f>
        <v/>
      </c>
      <c r="E23" s="159" t="n"/>
    </row>
    <row r="24" ht="31.5" customHeight="1">
      <c r="B24" s="23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E24" s="141" t="n"/>
    </row>
    <row r="25">
      <c r="B25" s="231" t="n">
        <v>10</v>
      </c>
      <c r="C25" s="235" t="inlineStr">
        <is>
          <t>Примечание</t>
        </is>
      </c>
      <c r="D25" s="231" t="n"/>
    </row>
    <row r="26">
      <c r="B26" s="139" t="n"/>
      <c r="C26" s="138" t="n"/>
      <c r="D26" s="138" t="n"/>
    </row>
    <row r="27" ht="37.5" customHeight="1">
      <c r="B27" s="137" t="n"/>
    </row>
    <row r="28">
      <c r="B28" s="136" t="inlineStr">
        <is>
          <t>Составил ______________________    А.Р. Маркова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36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6" min="1" max="1"/>
    <col width="9.140625" customWidth="1" style="136" min="2" max="2"/>
    <col width="35.28515625" customWidth="1" style="136" min="3" max="3"/>
    <col width="13.85546875" customWidth="1" style="136" min="4" max="4"/>
    <col width="24.85546875" customWidth="1" style="136" min="5" max="5"/>
    <col width="15.5703125" customWidth="1" style="136" min="6" max="6"/>
    <col width="14.85546875" customWidth="1" style="136" min="7" max="7"/>
    <col width="16.7109375" customWidth="1" style="136" min="8" max="8"/>
    <col width="13" customWidth="1" style="136" min="9" max="10"/>
    <col width="5.140625" customWidth="1" style="136" min="11" max="11"/>
    <col width="9.140625" customWidth="1" style="136" min="12" max="12"/>
  </cols>
  <sheetData>
    <row r="3">
      <c r="B3" s="225" t="inlineStr">
        <is>
          <t>Приложение № 2</t>
        </is>
      </c>
      <c r="K3" s="137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3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220.5" customHeight="1">
      <c r="B12" s="231" t="n">
        <v>1</v>
      </c>
      <c r="C12" s="231" t="inlineStr">
        <is>
          <t>Муфта концевая 6 кВ сечением 35 мм2</t>
        </is>
      </c>
      <c r="D12" s="144" t="inlineStr">
        <is>
          <t>02-01-05</t>
        </is>
      </c>
      <c r="E12" s="2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5" t="n"/>
      <c r="G12" s="200">
        <f>14343.23/1000</f>
        <v/>
      </c>
      <c r="H12" s="200" t="n"/>
      <c r="I12" s="200" t="n"/>
      <c r="J12" s="200">
        <f>SUM(F12:I12)</f>
        <v/>
      </c>
    </row>
    <row r="13" ht="15" customHeight="1">
      <c r="B13" s="229" t="inlineStr">
        <is>
          <t>Всего по объекту:</t>
        </is>
      </c>
      <c r="C13" s="315" t="n"/>
      <c r="D13" s="315" t="n"/>
      <c r="E13" s="316" t="n"/>
      <c r="F13" s="196" t="n"/>
      <c r="G13" s="197">
        <f>SUM(G12)</f>
        <v/>
      </c>
      <c r="H13" s="197" t="n"/>
      <c r="I13" s="197" t="n"/>
      <c r="J13" s="195">
        <f>SUM(J12)</f>
        <v/>
      </c>
    </row>
    <row r="14" ht="15.75" customHeight="1">
      <c r="B14" s="230" t="inlineStr">
        <is>
          <t>Всего по объекту в сопоставимом уровне цен 2 кв. 2018 г:</t>
        </is>
      </c>
      <c r="C14" s="311" t="n"/>
      <c r="D14" s="311" t="n"/>
      <c r="E14" s="312" t="n"/>
      <c r="F14" s="194" t="n"/>
      <c r="G14" s="198">
        <f>G13</f>
        <v/>
      </c>
      <c r="H14" s="198" t="n"/>
      <c r="I14" s="198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29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6" min="1" max="1"/>
    <col width="12.5703125" customWidth="1" style="136" min="2" max="2"/>
    <col width="22.42578125" customWidth="1" style="136" min="3" max="3"/>
    <col width="49.7109375" customWidth="1" style="136" min="4" max="4"/>
    <col width="10.140625" customWidth="1" style="136" min="5" max="5"/>
    <col width="20.7109375" customWidth="1" style="136" min="6" max="6"/>
    <col width="20" customWidth="1" style="136" min="7" max="7"/>
    <col width="16.7109375" customWidth="1" style="136" min="8" max="8"/>
    <col width="9.140625" customWidth="1" style="136" min="9" max="10"/>
    <col width="15" customWidth="1" style="136" min="11" max="11"/>
    <col width="9.140625" customWidth="1" style="136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65" t="n"/>
      <c r="B4" s="165" t="n"/>
      <c r="C4" s="237" t="n"/>
    </row>
    <row r="5">
      <c r="A5" s="227" t="n"/>
    </row>
    <row r="6">
      <c r="A6" s="236" t="inlineStr">
        <is>
          <t>Наименование разрабатываемого показателя УНЦ -  Муфта концевая 6 кВ сечением 35 мм2.</t>
        </is>
      </c>
    </row>
    <row r="7">
      <c r="A7" s="147" t="n"/>
      <c r="B7" s="147" t="n"/>
      <c r="C7" s="147" t="n"/>
      <c r="D7" s="147" t="n"/>
      <c r="E7" s="147" t="n"/>
      <c r="F7" s="147" t="n"/>
      <c r="G7" s="147" t="n"/>
      <c r="H7" s="147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1" t="inlineStr">
        <is>
          <t>на ед.изм.</t>
        </is>
      </c>
      <c r="H9" s="174" t="inlineStr">
        <is>
          <t>общая</t>
        </is>
      </c>
    </row>
    <row r="10">
      <c r="A10" s="149" t="n">
        <v>1</v>
      </c>
      <c r="B10" s="149" t="n"/>
      <c r="C10" s="149" t="n">
        <v>2</v>
      </c>
      <c r="D10" s="149" t="inlineStr">
        <is>
          <t>З</t>
        </is>
      </c>
      <c r="E10" s="149" t="n">
        <v>4</v>
      </c>
      <c r="F10" s="149" t="n">
        <v>5</v>
      </c>
      <c r="G10" s="149" t="n">
        <v>6</v>
      </c>
      <c r="H10" s="175" t="n">
        <v>7</v>
      </c>
    </row>
    <row r="11" customFormat="1" s="148">
      <c r="A11" s="233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43" t="n">
        <v>1</v>
      </c>
      <c r="B12" s="182" t="n"/>
      <c r="C12" s="168" t="inlineStr">
        <is>
          <t>1-3-8</t>
        </is>
      </c>
      <c r="D12" s="251" t="inlineStr">
        <is>
          <t>Затраты труда рабочих (средний разряд работы 3,8)</t>
        </is>
      </c>
      <c r="E12" s="243" t="inlineStr">
        <is>
          <t>чел.-ч</t>
        </is>
      </c>
      <c r="F12" s="243" t="n">
        <v>8.880000000000001</v>
      </c>
      <c r="G12" s="319" t="n">
        <v>9.4</v>
      </c>
      <c r="H12" s="125">
        <f>ROUND(F12*G12,2)</f>
        <v/>
      </c>
      <c r="M12" s="320" t="n"/>
    </row>
    <row r="13">
      <c r="A13" s="232" t="inlineStr">
        <is>
          <t>Затраты труда машинистов</t>
        </is>
      </c>
      <c r="B13" s="311" t="n"/>
      <c r="C13" s="311" t="n"/>
      <c r="D13" s="311" t="n"/>
      <c r="E13" s="312" t="n"/>
      <c r="F13" s="233" t="n"/>
      <c r="G13" s="185" t="n"/>
      <c r="H13" s="318">
        <f>H14</f>
        <v/>
      </c>
    </row>
    <row r="14">
      <c r="A14" s="243" t="n">
        <v>2</v>
      </c>
      <c r="B14" s="234" t="n"/>
      <c r="C14" s="168" t="n">
        <v>2</v>
      </c>
      <c r="D14" s="251" t="inlineStr">
        <is>
          <t>Затраты труда машинистов</t>
        </is>
      </c>
      <c r="E14" s="243" t="inlineStr">
        <is>
          <t>чел.-ч</t>
        </is>
      </c>
      <c r="F14" s="243" t="n">
        <v>6.72</v>
      </c>
      <c r="G14" s="26" t="n"/>
      <c r="H14" s="187" t="n">
        <v>90.7</v>
      </c>
    </row>
    <row r="15" customFormat="1" s="148">
      <c r="A15" s="233" t="inlineStr">
        <is>
          <t>Машины и механизмы</t>
        </is>
      </c>
      <c r="B15" s="311" t="n"/>
      <c r="C15" s="311" t="n"/>
      <c r="D15" s="311" t="n"/>
      <c r="E15" s="312" t="n"/>
      <c r="F15" s="233" t="n"/>
      <c r="G15" s="185" t="n"/>
      <c r="H15" s="318">
        <f>SUM(H16:H18)</f>
        <v/>
      </c>
    </row>
    <row r="16">
      <c r="A16" s="243" t="n">
        <v>3</v>
      </c>
      <c r="B16" s="234" t="n"/>
      <c r="C16" s="168" t="inlineStr">
        <is>
          <t>91.06.09-001</t>
        </is>
      </c>
      <c r="D16" s="251" t="inlineStr">
        <is>
          <t>Вышки телескопические 25 м</t>
        </is>
      </c>
      <c r="E16" s="243" t="inlineStr">
        <is>
          <t>маш.час</t>
        </is>
      </c>
      <c r="F16" s="243" t="n">
        <v>6.68</v>
      </c>
      <c r="G16" s="26" t="n">
        <v>142.7</v>
      </c>
      <c r="H16" s="125">
        <f>ROUND(F16*G16,2)</f>
        <v/>
      </c>
      <c r="I16" s="172" t="n"/>
      <c r="J16" s="172" t="n"/>
      <c r="L16" s="172" t="n"/>
    </row>
    <row r="17" ht="25.5" customFormat="1" customHeight="1" s="148">
      <c r="A17" s="243" t="n">
        <v>4</v>
      </c>
      <c r="B17" s="234" t="n"/>
      <c r="C17" s="168" t="inlineStr">
        <is>
          <t>91.05.05-015</t>
        </is>
      </c>
      <c r="D17" s="251" t="inlineStr">
        <is>
          <t>Краны на автомобильном ходу, грузоподъемность 16 т</t>
        </is>
      </c>
      <c r="E17" s="243" t="inlineStr">
        <is>
          <t>маш.час</t>
        </is>
      </c>
      <c r="F17" s="243" t="n">
        <v>0.02</v>
      </c>
      <c r="G17" s="26" t="n">
        <v>115.4</v>
      </c>
      <c r="H17" s="125">
        <f>ROUND(F17*G17,2)</f>
        <v/>
      </c>
      <c r="I17" s="172" t="n"/>
      <c r="J17" s="172" t="n"/>
      <c r="K17" s="178" t="n"/>
      <c r="L17" s="172" t="n"/>
    </row>
    <row r="18">
      <c r="A18" s="243" t="n">
        <v>5</v>
      </c>
      <c r="B18" s="234" t="n"/>
      <c r="C18" s="168" t="inlineStr">
        <is>
          <t>91.14.02-001</t>
        </is>
      </c>
      <c r="D18" s="251" t="inlineStr">
        <is>
          <t>Автомобили бортовые, грузоподъемность до 5 т</t>
        </is>
      </c>
      <c r="E18" s="243" t="inlineStr">
        <is>
          <t>маш.час</t>
        </is>
      </c>
      <c r="F18" s="243" t="n">
        <v>0.02</v>
      </c>
      <c r="G18" s="26" t="n">
        <v>65.70999999999999</v>
      </c>
      <c r="H18" s="125">
        <f>ROUND(F18*G18,2)</f>
        <v/>
      </c>
      <c r="I18" s="172" t="n"/>
      <c r="J18" s="172" t="n"/>
      <c r="L18" s="172" t="n"/>
    </row>
    <row r="19">
      <c r="A19" s="233" t="inlineStr">
        <is>
          <t>Материалы</t>
        </is>
      </c>
      <c r="B19" s="311" t="n"/>
      <c r="C19" s="311" t="n"/>
      <c r="D19" s="311" t="n"/>
      <c r="E19" s="312" t="n"/>
      <c r="F19" s="233" t="n"/>
      <c r="G19" s="185" t="n"/>
      <c r="H19" s="318">
        <f>SUM(H20:H23)</f>
        <v/>
      </c>
    </row>
    <row r="20">
      <c r="A20" s="7" t="n">
        <v>6</v>
      </c>
      <c r="B20" s="7" t="n"/>
      <c r="C20" s="243" t="inlineStr">
        <is>
          <t>Прайс из СД ОП</t>
        </is>
      </c>
      <c r="D20" s="99" t="inlineStr">
        <is>
          <t>Муфта концевая 6 кВ сечением 35 мм2</t>
        </is>
      </c>
      <c r="E20" s="243">
        <f>'Прил.5 Расчет СМР и ОБ'!D34</f>
        <v/>
      </c>
      <c r="F20" s="243">
        <f>'Прил.5 Расчет СМР и ОБ'!E34</f>
        <v/>
      </c>
      <c r="G20" s="99" t="n">
        <v>203.35</v>
      </c>
      <c r="H20" s="125">
        <f>ROUND(F20*G20,2)</f>
        <v/>
      </c>
    </row>
    <row r="21">
      <c r="A21" s="188" t="n">
        <v>7</v>
      </c>
      <c r="B21" s="234" t="n"/>
      <c r="C21" s="168" t="inlineStr">
        <is>
          <t>01.3.01.01-0001</t>
        </is>
      </c>
      <c r="D21" s="251" t="inlineStr">
        <is>
          <t>Бензин авиационный Б-70</t>
        </is>
      </c>
      <c r="E21" s="243" t="inlineStr">
        <is>
          <t>т</t>
        </is>
      </c>
      <c r="F21" s="243" t="n">
        <v>0.0008</v>
      </c>
      <c r="G21" s="26" t="n">
        <v>4488.4</v>
      </c>
      <c r="H21" s="125">
        <f>ROUND(F21*G21,2)</f>
        <v/>
      </c>
      <c r="I21" s="158" t="n"/>
      <c r="J21" s="172" t="n"/>
      <c r="K21" s="172" t="n"/>
    </row>
    <row r="22">
      <c r="A22" s="188" t="n">
        <v>8</v>
      </c>
      <c r="B22" s="234" t="n"/>
      <c r="C22" s="168" t="inlineStr">
        <is>
          <t>01.7.06.07-0002</t>
        </is>
      </c>
      <c r="D22" s="251" t="inlineStr">
        <is>
          <t>Лента монтажная, тип ЛМ-5</t>
        </is>
      </c>
      <c r="E22" s="243" t="inlineStr">
        <is>
          <t>10 м</t>
        </is>
      </c>
      <c r="F22" s="243" t="n">
        <v>0.048</v>
      </c>
      <c r="G22" s="26" t="n">
        <v>6.9</v>
      </c>
      <c r="H22" s="125">
        <f>ROUND(F22*G22,2)</f>
        <v/>
      </c>
      <c r="I22" s="158" t="n"/>
      <c r="J22" s="172" t="n"/>
      <c r="K22" s="172" t="n"/>
    </row>
    <row r="23">
      <c r="A23" s="7" t="n">
        <v>9</v>
      </c>
      <c r="B23" s="234" t="n"/>
      <c r="C23" s="168" t="inlineStr">
        <is>
          <t>01.3.01.05-0009</t>
        </is>
      </c>
      <c r="D23" s="251" t="inlineStr">
        <is>
          <t>Парафин нефтяной твердый Т-1</t>
        </is>
      </c>
      <c r="E23" s="243" t="inlineStr">
        <is>
          <t>т</t>
        </is>
      </c>
      <c r="F23" s="243" t="n">
        <v>2e-05</v>
      </c>
      <c r="G23" s="26" t="n">
        <v>8105.71</v>
      </c>
      <c r="H23" s="125">
        <f>ROUND(F23*G23,2)</f>
        <v/>
      </c>
      <c r="I23" s="158" t="n"/>
      <c r="J23" s="172" t="n"/>
      <c r="K23" s="172" t="n"/>
    </row>
    <row r="24">
      <c r="H24" s="321" t="n"/>
    </row>
    <row r="25">
      <c r="B25" s="136" t="inlineStr">
        <is>
          <t>Составил ______________________     А.Р. Маркова</t>
        </is>
      </c>
    </row>
    <row r="26">
      <c r="B26" s="137" t="inlineStr">
        <is>
          <t xml:space="preserve">                         (подпись, инициалы, фамилия)</t>
        </is>
      </c>
    </row>
    <row r="28">
      <c r="B28" s="136" t="inlineStr">
        <is>
          <t>Проверил ______________________        А.В. Костянецкая</t>
        </is>
      </c>
    </row>
    <row r="29">
      <c r="B29" s="13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57" t="n"/>
      <c r="C6" s="4" t="n"/>
      <c r="D6" s="4" t="n"/>
      <c r="E6" s="4" t="n"/>
    </row>
    <row r="7" ht="25.5" customHeight="1">
      <c r="B7" s="238" t="inlineStr">
        <is>
          <t>Наименование разрабатываемого показателя УНЦ — Муфта концевая 6 кВ сечением 35 мм2.</t>
        </is>
      </c>
    </row>
    <row r="8">
      <c r="B8" s="239" t="inlineStr">
        <is>
          <t>Единица измерения  — 1 ед</t>
        </is>
      </c>
    </row>
    <row r="9">
      <c r="B9" s="157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1">
        <f>'Прил.5 Расчет СМР и ОБ'!J15</f>
        <v/>
      </c>
      <c r="D11" s="152">
        <f>C11/$C$24</f>
        <v/>
      </c>
      <c r="E11" s="152">
        <f>C11/$C$40</f>
        <v/>
      </c>
    </row>
    <row r="12">
      <c r="B12" s="99" t="inlineStr">
        <is>
          <t>Эксплуатация машин основных</t>
        </is>
      </c>
      <c r="C12" s="151">
        <f>'Прил.5 Расчет СМР и ОБ'!J21</f>
        <v/>
      </c>
      <c r="D12" s="152">
        <f>C12/$C$24</f>
        <v/>
      </c>
      <c r="E12" s="152">
        <f>C12/$C$40</f>
        <v/>
      </c>
    </row>
    <row r="13">
      <c r="B13" s="99" t="inlineStr">
        <is>
          <t>Эксплуатация машин прочих</t>
        </is>
      </c>
      <c r="C13" s="151">
        <f>'Прил.5 Расчет СМР и ОБ'!J24</f>
        <v/>
      </c>
      <c r="D13" s="152">
        <f>C13/$C$24</f>
        <v/>
      </c>
      <c r="E13" s="152">
        <f>C13/$C$40</f>
        <v/>
      </c>
    </row>
    <row r="14">
      <c r="B14" s="99" t="inlineStr">
        <is>
          <t>ЭКСПЛУАТАЦИЯ МАШИН, ВСЕГО:</t>
        </is>
      </c>
      <c r="C14" s="151">
        <f>C13+C12</f>
        <v/>
      </c>
      <c r="D14" s="152">
        <f>C14/$C$24</f>
        <v/>
      </c>
      <c r="E14" s="152">
        <f>C14/$C$40</f>
        <v/>
      </c>
    </row>
    <row r="15">
      <c r="B15" s="99" t="inlineStr">
        <is>
          <t>в том числе зарплата машинистов</t>
        </is>
      </c>
      <c r="C15" s="151">
        <f>'Прил.5 Расчет СМР и ОБ'!J17</f>
        <v/>
      </c>
      <c r="D15" s="152">
        <f>C15/$C$24</f>
        <v/>
      </c>
      <c r="E15" s="152">
        <f>C15/$C$40</f>
        <v/>
      </c>
    </row>
    <row r="16">
      <c r="B16" s="99" t="inlineStr">
        <is>
          <t>Материалы основные</t>
        </is>
      </c>
      <c r="C16" s="151">
        <f>'Прил.5 Расчет СМР и ОБ'!J35</f>
        <v/>
      </c>
      <c r="D16" s="152">
        <f>C16/$C$24</f>
        <v/>
      </c>
      <c r="E16" s="152">
        <f>C16/$C$40</f>
        <v/>
      </c>
    </row>
    <row r="17">
      <c r="B17" s="99" t="inlineStr">
        <is>
          <t>Материалы прочие</t>
        </is>
      </c>
      <c r="C17" s="151">
        <f>'Прил.5 Расчет СМР и ОБ'!J39</f>
        <v/>
      </c>
      <c r="D17" s="152">
        <f>C17/$C$24</f>
        <v/>
      </c>
      <c r="E17" s="152">
        <f>C17/$C$40</f>
        <v/>
      </c>
      <c r="G17" s="322" t="n"/>
    </row>
    <row r="18">
      <c r="B18" s="99" t="inlineStr">
        <is>
          <t>МАТЕРИАЛЫ, ВСЕГО:</t>
        </is>
      </c>
      <c r="C18" s="151">
        <f>C17+C16</f>
        <v/>
      </c>
      <c r="D18" s="152">
        <f>C18/$C$24</f>
        <v/>
      </c>
      <c r="E18" s="152">
        <f>C18/$C$40</f>
        <v/>
      </c>
    </row>
    <row r="19">
      <c r="B19" s="99" t="inlineStr">
        <is>
          <t>ИТОГО</t>
        </is>
      </c>
      <c r="C19" s="151">
        <f>C18+C14+C11</f>
        <v/>
      </c>
      <c r="D19" s="152" t="n"/>
      <c r="E19" s="99" t="n"/>
    </row>
    <row r="20">
      <c r="B20" s="99" t="inlineStr">
        <is>
          <t>Сметная прибыль, руб.</t>
        </is>
      </c>
      <c r="C20" s="151">
        <f>ROUND(C21*(C11+C15),2)</f>
        <v/>
      </c>
      <c r="D20" s="152">
        <f>C20/$C$24</f>
        <v/>
      </c>
      <c r="E20" s="152">
        <f>C20/$C$40</f>
        <v/>
      </c>
    </row>
    <row r="21">
      <c r="B21" s="99" t="inlineStr">
        <is>
          <t>Сметная прибыль, %</t>
        </is>
      </c>
      <c r="C21" s="155">
        <f>'Прил.5 Расчет СМР и ОБ'!D43</f>
        <v/>
      </c>
      <c r="D21" s="152" t="n"/>
      <c r="E21" s="99" t="n"/>
    </row>
    <row r="22">
      <c r="B22" s="99" t="inlineStr">
        <is>
          <t>Накладные расходы, руб.</t>
        </is>
      </c>
      <c r="C22" s="151">
        <f>ROUND(C23*(C11+C15),2)</f>
        <v/>
      </c>
      <c r="D22" s="152">
        <f>C22/$C$24</f>
        <v/>
      </c>
      <c r="E22" s="152">
        <f>C22/$C$40</f>
        <v/>
      </c>
    </row>
    <row r="23">
      <c r="B23" s="99" t="inlineStr">
        <is>
          <t>Накладные расходы, %</t>
        </is>
      </c>
      <c r="C23" s="155">
        <f>'Прил.5 Расчет СМР и ОБ'!D42</f>
        <v/>
      </c>
      <c r="D23" s="152" t="n"/>
      <c r="E23" s="99" t="n"/>
    </row>
    <row r="24">
      <c r="B24" s="99" t="inlineStr">
        <is>
          <t>ВСЕГО СМР с НР и СП</t>
        </is>
      </c>
      <c r="C24" s="151">
        <f>C19+C20+C22</f>
        <v/>
      </c>
      <c r="D24" s="152">
        <f>C24/$C$24</f>
        <v/>
      </c>
      <c r="E24" s="152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51">
        <f>'Прил.5 Расчет СМР и ОБ'!J30</f>
        <v/>
      </c>
      <c r="D25" s="152" t="n"/>
      <c r="E25" s="152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51">
        <f>'Прил.5 Расчет СМР и ОБ'!J31</f>
        <v/>
      </c>
      <c r="D26" s="152" t="n"/>
      <c r="E26" s="152">
        <f>C26/$C$40</f>
        <v/>
      </c>
    </row>
    <row r="27">
      <c r="B27" s="99" t="inlineStr">
        <is>
          <t>ИТОГО (СМР + ОБОРУДОВАНИЕ)</t>
        </is>
      </c>
      <c r="C27" s="154">
        <f>C24+C25</f>
        <v/>
      </c>
      <c r="D27" s="152" t="n"/>
      <c r="E27" s="152">
        <f>C27/$C$40</f>
        <v/>
      </c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3" t="n"/>
    </row>
    <row r="29" ht="25.5" customHeight="1">
      <c r="B29" s="99" t="inlineStr">
        <is>
          <t>Временные здания и сооружения - 2,5%</t>
        </is>
      </c>
      <c r="C29" s="154">
        <f>ROUND(C24*2.5%,2)</f>
        <v/>
      </c>
      <c r="D29" s="99" t="n"/>
      <c r="E29" s="152">
        <f>C29/$C$40</f>
        <v/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4">
        <f>ROUND((C24+C29)*2.1%,2)</f>
        <v/>
      </c>
      <c r="D30" s="99" t="n"/>
      <c r="E30" s="152">
        <f>C30/$C$40</f>
        <v/>
      </c>
      <c r="F30" s="153" t="n"/>
    </row>
    <row r="31">
      <c r="B31" s="99" t="inlineStr">
        <is>
          <t>Пусконаладочные работы</t>
        </is>
      </c>
      <c r="C31" s="170" t="n">
        <v>0</v>
      </c>
      <c r="D31" s="99" t="n"/>
      <c r="E31" s="152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54">
        <f>ROUND(C27*0%,2)</f>
        <v/>
      </c>
      <c r="D32" s="99" t="n"/>
      <c r="E32" s="152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54">
        <f>ROUND(C28*0%,2)</f>
        <v/>
      </c>
      <c r="D33" s="99" t="n"/>
      <c r="E33" s="152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4">
        <f>ROUND(C29*0%,2)</f>
        <v/>
      </c>
      <c r="D34" s="99" t="n"/>
      <c r="E34" s="152">
        <f>C34/$C$40</f>
        <v/>
      </c>
      <c r="H34" s="158" t="n"/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4">
        <f>ROUND(C30*0%,2)</f>
        <v/>
      </c>
      <c r="D35" s="99" t="n"/>
      <c r="E35" s="152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54">
        <f>ROUND((C27+C32+C33+C34+C35+C29+C31+C30)*2.14%,2)</f>
        <v/>
      </c>
      <c r="D36" s="99" t="n"/>
      <c r="E36" s="152">
        <f>C36/$C$40</f>
        <v/>
      </c>
      <c r="G36" s="189" t="n"/>
      <c r="L36" s="153" t="n"/>
    </row>
    <row r="37">
      <c r="B37" s="99" t="inlineStr">
        <is>
          <t>Авторский надзор - 0,2%</t>
        </is>
      </c>
      <c r="C37" s="154">
        <f>ROUND((C27+C32+C33+C34+C35+C29+C31+C30)*0.2%,2)</f>
        <v/>
      </c>
      <c r="D37" s="99" t="n"/>
      <c r="E37" s="152">
        <f>C37/$C$40</f>
        <v/>
      </c>
      <c r="G37" s="190" t="n"/>
      <c r="L37" s="153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99" t="n"/>
      <c r="E38" s="152">
        <f>C38/$C$40</f>
        <v/>
      </c>
    </row>
    <row r="39" ht="13.5" customHeight="1">
      <c r="B39" s="99" t="inlineStr">
        <is>
          <t>Непредвиденные расходы</t>
        </is>
      </c>
      <c r="C39" s="151">
        <f>ROUND(C38*3%,2)</f>
        <v/>
      </c>
      <c r="D39" s="99" t="n"/>
      <c r="E39" s="152">
        <f>C39/$C$38</f>
        <v/>
      </c>
    </row>
    <row r="40">
      <c r="B40" s="99" t="inlineStr">
        <is>
          <t>ВСЕГО:</t>
        </is>
      </c>
      <c r="C40" s="151">
        <f>C39+C38</f>
        <v/>
      </c>
      <c r="D40" s="99" t="n"/>
      <c r="E40" s="152">
        <f>C40/$C$40</f>
        <v/>
      </c>
    </row>
    <row r="41">
      <c r="B41" s="99" t="inlineStr">
        <is>
          <t>ИТОГО ПОКАЗАТЕЛЬ НА ЕД. ИЗМ.</t>
        </is>
      </c>
      <c r="C41" s="151">
        <f>C40/'Прил.5 Расчет СМР и ОБ'!E46</f>
        <v/>
      </c>
      <c r="D41" s="99" t="n"/>
      <c r="E41" s="99" t="n"/>
    </row>
    <row r="42">
      <c r="B42" s="150" t="n"/>
      <c r="C42" s="4" t="n"/>
      <c r="D42" s="4" t="n"/>
      <c r="E42" s="4" t="n"/>
    </row>
    <row r="43">
      <c r="B43" s="150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0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0" t="n"/>
      <c r="C45" s="4" t="n"/>
      <c r="D45" s="4" t="n"/>
      <c r="E45" s="4" t="n"/>
    </row>
    <row r="46">
      <c r="B46" s="150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2"/>
  <sheetViews>
    <sheetView view="pageBreakPreview" topLeftCell="A25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7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0" t="inlineStr">
        <is>
          <t>Наименование разрабатываемого показателя УНЦ</t>
        </is>
      </c>
      <c r="B6" s="129" t="n"/>
      <c r="C6" s="129" t="n"/>
      <c r="D6" s="221" t="inlineStr">
        <is>
          <t>Муфта концевая 6 кВ сечением 35 мм2.</t>
        </is>
      </c>
    </row>
    <row r="7" ht="12.75" customFormat="1" customHeight="1" s="4">
      <c r="A7" s="221" t="inlineStr">
        <is>
          <t>Единица измерения  — 1 ед</t>
        </is>
      </c>
      <c r="I7" s="238" t="n"/>
      <c r="J7" s="238" t="n"/>
    </row>
    <row r="8" ht="13.5" customFormat="1" customHeight="1" s="4">
      <c r="A8" s="221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2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3" t="inlineStr">
        <is>
          <t>на ед. изм.</t>
        </is>
      </c>
      <c r="G11" s="243" t="inlineStr">
        <is>
          <t>общая</t>
        </is>
      </c>
      <c r="H11" s="314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50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91" t="n"/>
      <c r="J13" s="191" t="n"/>
    </row>
    <row r="14" ht="25.5" customHeight="1">
      <c r="A14" s="243" t="n">
        <v>1</v>
      </c>
      <c r="B14" s="168" t="inlineStr">
        <is>
          <t>1-3-8</t>
        </is>
      </c>
      <c r="C14" s="251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23">
        <f>G14/F14</f>
        <v/>
      </c>
      <c r="F14" s="26" t="n">
        <v>9.4</v>
      </c>
      <c r="G14" s="26">
        <f>'Прил. 3'!H11</f>
        <v/>
      </c>
      <c r="H14" s="121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12">
      <c r="A15" s="243" t="n"/>
      <c r="B15" s="243" t="n"/>
      <c r="C15" s="250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23">
        <f>SUM(E14:E14)</f>
        <v/>
      </c>
      <c r="F15" s="26" t="n"/>
      <c r="G15" s="26">
        <f>SUM(G14:G14)</f>
        <v/>
      </c>
      <c r="H15" s="254" t="n">
        <v>1</v>
      </c>
      <c r="I15" s="191" t="n"/>
      <c r="J15" s="26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91" t="n"/>
      <c r="J16" s="191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23" t="n">
        <v>6.72</v>
      </c>
      <c r="F17" s="26">
        <f>G17/E17</f>
        <v/>
      </c>
      <c r="G17" s="26">
        <f>'Прил. 3'!H13</f>
        <v/>
      </c>
      <c r="H17" s="254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12">
      <c r="A18" s="243" t="n"/>
      <c r="B18" s="250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91" t="n"/>
      <c r="J18" s="191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91" t="n"/>
      <c r="J19" s="191" t="n"/>
    </row>
    <row r="20" ht="14.25" customFormat="1" customHeight="1" s="12">
      <c r="A20" s="243" t="n">
        <v>3</v>
      </c>
      <c r="B20" s="168" t="inlineStr">
        <is>
          <t>91.06.09-001</t>
        </is>
      </c>
      <c r="C20" s="251" t="inlineStr">
        <is>
          <t>Вышки телескопические 25 м</t>
        </is>
      </c>
      <c r="D20" s="243" t="inlineStr">
        <is>
          <t>маш.час</t>
        </is>
      </c>
      <c r="E20" s="324" t="n">
        <v>6.68</v>
      </c>
      <c r="F20" s="26" t="n">
        <v>142.7</v>
      </c>
      <c r="G20" s="26">
        <f>ROUND(E20*F20,2)</f>
        <v/>
      </c>
      <c r="H20" s="121">
        <f>G20/$G$25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43" t="n"/>
      <c r="B21" s="243" t="n"/>
      <c r="C21" s="251" t="inlineStr">
        <is>
          <t>Итого основные машины и механизмы</t>
        </is>
      </c>
      <c r="D21" s="243" t="n"/>
      <c r="E21" s="323" t="n"/>
      <c r="F21" s="26" t="n"/>
      <c r="G21" s="26">
        <f>SUM(G20:G20)</f>
        <v/>
      </c>
      <c r="H21" s="254">
        <f>G21/G25</f>
        <v/>
      </c>
      <c r="I21" s="125" t="n"/>
      <c r="J21" s="26">
        <f>SUM(J20:J20)</f>
        <v/>
      </c>
    </row>
    <row r="22" outlineLevel="1" ht="25.5" customFormat="1" customHeight="1" s="12">
      <c r="A22" s="243" t="n">
        <v>4</v>
      </c>
      <c r="B22" s="168" t="inlineStr">
        <is>
          <t>91.05.05-015</t>
        </is>
      </c>
      <c r="C22" s="251" t="inlineStr">
        <is>
          <t>Краны на автомобильном ходу, грузоподъемность 16 т</t>
        </is>
      </c>
      <c r="D22" s="243" t="inlineStr">
        <is>
          <t>маш.час</t>
        </is>
      </c>
      <c r="E22" s="324" t="n">
        <v>0.02</v>
      </c>
      <c r="F22" s="26" t="n">
        <v>115.4</v>
      </c>
      <c r="G22" s="26">
        <f>ROUND(E22*F22,2)</f>
        <v/>
      </c>
      <c r="H22" s="121">
        <f>G22/$G$25</f>
        <v/>
      </c>
      <c r="I22" s="26">
        <f>ROUND(F22*'Прил. 10'!$D$12,2)</f>
        <v/>
      </c>
      <c r="J22" s="26">
        <f>ROUND(I22*E22,2)</f>
        <v/>
      </c>
    </row>
    <row r="23" outlineLevel="1" ht="25.5" customFormat="1" customHeight="1" s="12">
      <c r="A23" s="243" t="n">
        <v>5</v>
      </c>
      <c r="B23" s="168" t="inlineStr">
        <is>
          <t>91.14.02-001</t>
        </is>
      </c>
      <c r="C23" s="251" t="inlineStr">
        <is>
          <t>Автомобили бортовые, грузоподъемность до 5 т</t>
        </is>
      </c>
      <c r="D23" s="243" t="inlineStr">
        <is>
          <t>маш.час</t>
        </is>
      </c>
      <c r="E23" s="324" t="n">
        <v>0.02</v>
      </c>
      <c r="F23" s="26" t="n">
        <v>65.70999999999999</v>
      </c>
      <c r="G23" s="26">
        <f>ROUND(E23*F23,2)</f>
        <v/>
      </c>
      <c r="H23" s="121">
        <f>G23/$G$25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12">
      <c r="A24" s="243" t="n"/>
      <c r="B24" s="243" t="n"/>
      <c r="C24" s="251" t="inlineStr">
        <is>
          <t>Итого прочие машины и механизмы</t>
        </is>
      </c>
      <c r="D24" s="243" t="n"/>
      <c r="E24" s="252" t="n"/>
      <c r="F24" s="26" t="n"/>
      <c r="G24" s="125">
        <f>SUM(G22:G23)</f>
        <v/>
      </c>
      <c r="H24" s="121">
        <f>G24/G25</f>
        <v/>
      </c>
      <c r="I24" s="26" t="n"/>
      <c r="J24" s="26">
        <f>SUM(J22:J23)</f>
        <v/>
      </c>
    </row>
    <row r="25" ht="25.5" customFormat="1" customHeight="1" s="12">
      <c r="A25" s="243" t="n"/>
      <c r="B25" s="243" t="n"/>
      <c r="C25" s="250" t="inlineStr">
        <is>
          <t>Итого по разделу «Машины и механизмы»</t>
        </is>
      </c>
      <c r="D25" s="243" t="n"/>
      <c r="E25" s="252" t="n"/>
      <c r="F25" s="26" t="n"/>
      <c r="G25" s="26">
        <f>G24+G21</f>
        <v/>
      </c>
      <c r="H25" s="122" t="n">
        <v>1</v>
      </c>
      <c r="I25" s="123" t="n"/>
      <c r="J25" s="124">
        <f>J24+J21</f>
        <v/>
      </c>
    </row>
    <row r="26" ht="14.25" customFormat="1" customHeight="1" s="12">
      <c r="A26" s="243" t="n"/>
      <c r="B26" s="250" t="inlineStr">
        <is>
          <t>Оборудование</t>
        </is>
      </c>
      <c r="C26" s="311" t="n"/>
      <c r="D26" s="311" t="n"/>
      <c r="E26" s="311" t="n"/>
      <c r="F26" s="311" t="n"/>
      <c r="G26" s="311" t="n"/>
      <c r="H26" s="312" t="n"/>
      <c r="I26" s="191" t="n"/>
      <c r="J26" s="191" t="n"/>
    </row>
    <row r="27">
      <c r="A27" s="243" t="n"/>
      <c r="B27" s="251" t="inlineStr">
        <is>
          <t>Основное оборудование</t>
        </is>
      </c>
      <c r="C27" s="311" t="n"/>
      <c r="D27" s="311" t="n"/>
      <c r="E27" s="311" t="n"/>
      <c r="F27" s="311" t="n"/>
      <c r="G27" s="311" t="n"/>
      <c r="H27" s="312" t="n"/>
      <c r="I27" s="191" t="n"/>
      <c r="J27" s="191" t="n"/>
    </row>
    <row r="28">
      <c r="A28" s="243" t="n"/>
      <c r="B28" s="243" t="n"/>
      <c r="C28" s="251" t="inlineStr">
        <is>
          <t>Итого основное оборудование</t>
        </is>
      </c>
      <c r="D28" s="243" t="n"/>
      <c r="E28" s="324" t="n"/>
      <c r="F28" s="253" t="n"/>
      <c r="G28" s="26" t="n">
        <v>0</v>
      </c>
      <c r="H28" s="121" t="n">
        <v>0</v>
      </c>
      <c r="I28" s="125" t="n"/>
      <c r="J28" s="26" t="n">
        <v>0</v>
      </c>
    </row>
    <row r="29">
      <c r="A29" s="243" t="n"/>
      <c r="B29" s="243" t="n"/>
      <c r="C29" s="251" t="inlineStr">
        <is>
          <t>Итого прочее оборудование</t>
        </is>
      </c>
      <c r="D29" s="243" t="n"/>
      <c r="E29" s="323" t="n"/>
      <c r="F29" s="253" t="n"/>
      <c r="G29" s="26" t="n">
        <v>0</v>
      </c>
      <c r="H29" s="121" t="n">
        <v>0</v>
      </c>
      <c r="I29" s="125" t="n"/>
      <c r="J29" s="26" t="n">
        <v>0</v>
      </c>
    </row>
    <row r="30">
      <c r="A30" s="243" t="n"/>
      <c r="B30" s="243" t="n"/>
      <c r="C30" s="250" t="inlineStr">
        <is>
          <t>Итого по разделу «Оборудование»</t>
        </is>
      </c>
      <c r="D30" s="243" t="n"/>
      <c r="E30" s="252" t="n"/>
      <c r="F30" s="253" t="n"/>
      <c r="G30" s="26">
        <f>G28+G29</f>
        <v/>
      </c>
      <c r="H30" s="121" t="n">
        <v>0</v>
      </c>
      <c r="I30" s="125" t="n"/>
      <c r="J30" s="26">
        <f>J29+J28</f>
        <v/>
      </c>
    </row>
    <row r="31" ht="25.5" customHeight="1">
      <c r="A31" s="243" t="n"/>
      <c r="B31" s="243" t="n"/>
      <c r="C31" s="251" t="inlineStr">
        <is>
          <t>в том числе технологическое оборудование</t>
        </is>
      </c>
      <c r="D31" s="243" t="n"/>
      <c r="E31" s="324" t="n"/>
      <c r="F31" s="253" t="n"/>
      <c r="G31" s="26">
        <f>'Прил.6 Расчет ОБ'!G12</f>
        <v/>
      </c>
      <c r="H31" s="254" t="n"/>
      <c r="I31" s="125" t="n"/>
      <c r="J31" s="26">
        <f>J30</f>
        <v/>
      </c>
    </row>
    <row r="32" ht="14.25" customFormat="1" customHeight="1" s="12">
      <c r="A32" s="243" t="n"/>
      <c r="B32" s="250" t="inlineStr">
        <is>
          <t>Материалы</t>
        </is>
      </c>
      <c r="C32" s="311" t="n"/>
      <c r="D32" s="311" t="n"/>
      <c r="E32" s="311" t="n"/>
      <c r="F32" s="311" t="n"/>
      <c r="G32" s="311" t="n"/>
      <c r="H32" s="312" t="n"/>
      <c r="I32" s="120" t="n"/>
      <c r="J32" s="120" t="n"/>
    </row>
    <row r="33" ht="14.25" customFormat="1" customHeight="1" s="12">
      <c r="A33" s="244" t="n"/>
      <c r="B33" s="246" t="inlineStr">
        <is>
          <t>Основные материалы</t>
        </is>
      </c>
      <c r="C33" s="325" t="n"/>
      <c r="D33" s="325" t="n"/>
      <c r="E33" s="325" t="n"/>
      <c r="F33" s="325" t="n"/>
      <c r="G33" s="325" t="n"/>
      <c r="H33" s="326" t="n"/>
      <c r="I33" s="131" t="n"/>
      <c r="J33" s="131" t="n"/>
    </row>
    <row r="34" ht="14.25" customFormat="1" customHeight="1" s="12">
      <c r="A34" s="243" t="n">
        <v>6</v>
      </c>
      <c r="B34" s="179" t="inlineStr">
        <is>
          <t>БЦ.91.22</t>
        </is>
      </c>
      <c r="C34" s="163" t="inlineStr">
        <is>
          <t>Муфта концевая 6 кВ сечением 35 мм2</t>
        </is>
      </c>
      <c r="D34" s="243" t="inlineStr">
        <is>
          <t>шт</t>
        </is>
      </c>
      <c r="E34" s="324" t="n">
        <v>6</v>
      </c>
      <c r="F34" s="253">
        <f>ROUND(I34/'Прил. 10'!$D$13,2)</f>
        <v/>
      </c>
      <c r="G34" s="26">
        <f>ROUND(E34*F34,2)</f>
        <v/>
      </c>
      <c r="H34" s="121">
        <f>G34/$G$40</f>
        <v/>
      </c>
      <c r="I34" s="26" t="n">
        <v>1138.23</v>
      </c>
      <c r="J34" s="26">
        <f>ROUND(I34*E34,2)</f>
        <v/>
      </c>
    </row>
    <row r="35" ht="14.25" customFormat="1" customHeight="1" s="12">
      <c r="A35" s="245" t="n"/>
      <c r="B35" s="133" t="n"/>
      <c r="C35" s="134" t="inlineStr">
        <is>
          <t>Итого основные материалы</t>
        </is>
      </c>
      <c r="D35" s="245" t="n"/>
      <c r="E35" s="327" t="n"/>
      <c r="F35" s="124" t="n"/>
      <c r="G35" s="124">
        <f>SUM(G34:G34)</f>
        <v/>
      </c>
      <c r="H35" s="121">
        <f>G35/$G$40</f>
        <v/>
      </c>
      <c r="I35" s="26" t="n"/>
      <c r="J35" s="124">
        <f>SUM(J34:J34)</f>
        <v/>
      </c>
    </row>
    <row r="36" outlineLevel="1" ht="14.25" customFormat="1" customHeight="1" s="12">
      <c r="A36" s="243" t="n">
        <v>7</v>
      </c>
      <c r="B36" s="169" t="inlineStr">
        <is>
          <t>01.3.01.01-0001</t>
        </is>
      </c>
      <c r="C36" s="163" t="inlineStr">
        <is>
          <t>Бензин авиационный Б-70</t>
        </is>
      </c>
      <c r="D36" s="264" t="inlineStr">
        <is>
          <t>т</t>
        </is>
      </c>
      <c r="E36" s="328" t="n">
        <v>0.0008</v>
      </c>
      <c r="F36" s="161" t="n">
        <v>4488.4</v>
      </c>
      <c r="G36" s="26">
        <f>ROUND(E36*F36,2)</f>
        <v/>
      </c>
      <c r="H36" s="121">
        <f>G36/$G$40</f>
        <v/>
      </c>
      <c r="I36" s="26">
        <f>ROUND(F36*'Прил. 10'!$D$13,2)</f>
        <v/>
      </c>
      <c r="J36" s="26">
        <f>ROUND(I36*E36,2)</f>
        <v/>
      </c>
    </row>
    <row r="37" outlineLevel="1" ht="14.25" customFormat="1" customHeight="1" s="12">
      <c r="A37" s="243" t="n">
        <v>8</v>
      </c>
      <c r="B37" s="169" t="inlineStr">
        <is>
          <t>01.7.06.07-0002</t>
        </is>
      </c>
      <c r="C37" s="163" t="inlineStr">
        <is>
          <t>Лента монтажная, тип ЛМ-5</t>
        </is>
      </c>
      <c r="D37" s="264" t="inlineStr">
        <is>
          <t>10 м</t>
        </is>
      </c>
      <c r="E37" s="328" t="n">
        <v>0.048</v>
      </c>
      <c r="F37" s="161" t="n">
        <v>6.9</v>
      </c>
      <c r="G37" s="26">
        <f>ROUND(E37*F37,2)</f>
        <v/>
      </c>
      <c r="H37" s="121">
        <f>G37/$G$40</f>
        <v/>
      </c>
      <c r="I37" s="26">
        <f>ROUND(F37*'Прил. 10'!$D$13,2)</f>
        <v/>
      </c>
      <c r="J37" s="26">
        <f>ROUND(I37*E37,2)</f>
        <v/>
      </c>
    </row>
    <row r="38" outlineLevel="1" ht="14.25" customFormat="1" customHeight="1" s="12">
      <c r="A38" s="243" t="n">
        <v>9</v>
      </c>
      <c r="B38" s="169" t="inlineStr">
        <is>
          <t>01.3.01.05-0009</t>
        </is>
      </c>
      <c r="C38" s="163" t="inlineStr">
        <is>
          <t>Парафин нефтяной твердый Т-1</t>
        </is>
      </c>
      <c r="D38" s="264" t="inlineStr">
        <is>
          <t>т</t>
        </is>
      </c>
      <c r="E38" s="328" t="n">
        <v>2e-05</v>
      </c>
      <c r="F38" s="161" t="n">
        <v>8105.71</v>
      </c>
      <c r="G38" s="26">
        <f>ROUND(E38*F38,2)</f>
        <v/>
      </c>
      <c r="H38" s="121">
        <f>G38/$G$40</f>
        <v/>
      </c>
      <c r="I38" s="26">
        <f>ROUND(F38*'Прил. 10'!$D$13,2)</f>
        <v/>
      </c>
      <c r="J38" s="26">
        <f>ROUND(I38*E38,2)</f>
        <v/>
      </c>
    </row>
    <row r="39" ht="14.25" customFormat="1" customHeight="1" s="12">
      <c r="A39" s="245" t="n"/>
      <c r="B39" s="245" t="n"/>
      <c r="C39" s="134" t="inlineStr">
        <is>
          <t>Итого прочие материалы</t>
        </is>
      </c>
      <c r="D39" s="245" t="n"/>
      <c r="E39" s="327" t="n"/>
      <c r="F39" s="171" t="n"/>
      <c r="G39" s="124">
        <f>SUM(G36:G38)</f>
        <v/>
      </c>
      <c r="H39" s="121">
        <f>G39/$G$40</f>
        <v/>
      </c>
      <c r="I39" s="26" t="n"/>
      <c r="J39" s="26">
        <f>SUM(J36:J38)</f>
        <v/>
      </c>
    </row>
    <row r="40" ht="14.25" customFormat="1" customHeight="1" s="12">
      <c r="A40" s="243" t="n"/>
      <c r="B40" s="243" t="n"/>
      <c r="C40" s="250" t="inlineStr">
        <is>
          <t>Итого по разделу «Материалы»</t>
        </is>
      </c>
      <c r="D40" s="243" t="n"/>
      <c r="E40" s="252" t="n"/>
      <c r="F40" s="253" t="n"/>
      <c r="G40" s="26">
        <f>G35+G39</f>
        <v/>
      </c>
      <c r="H40" s="254">
        <f>G40/$G$40</f>
        <v/>
      </c>
      <c r="I40" s="26" t="n"/>
      <c r="J40" s="26">
        <f>J35+J39</f>
        <v/>
      </c>
    </row>
    <row r="41" ht="14.25" customFormat="1" customHeight="1" s="12">
      <c r="A41" s="243" t="n"/>
      <c r="B41" s="243" t="n"/>
      <c r="C41" s="251" t="inlineStr">
        <is>
          <t>ИТОГО ПО РМ</t>
        </is>
      </c>
      <c r="D41" s="243" t="n"/>
      <c r="E41" s="252" t="n"/>
      <c r="F41" s="253" t="n"/>
      <c r="G41" s="26">
        <f>G15+G25+G40</f>
        <v/>
      </c>
      <c r="H41" s="254" t="n"/>
      <c r="I41" s="26" t="n"/>
      <c r="J41" s="26">
        <f>J15+J25+J40</f>
        <v/>
      </c>
    </row>
    <row r="42" ht="14.25" customFormat="1" customHeight="1" s="12">
      <c r="A42" s="243" t="n"/>
      <c r="B42" s="243" t="n"/>
      <c r="C42" s="251" t="inlineStr">
        <is>
          <t>Накладные расходы</t>
        </is>
      </c>
      <c r="D42" s="126">
        <f>ROUND(G42/(G$17+$G$15),2)</f>
        <v/>
      </c>
      <c r="E42" s="252" t="n"/>
      <c r="F42" s="253" t="n"/>
      <c r="G42" s="26" t="n">
        <v>168.95</v>
      </c>
      <c r="H42" s="254" t="n"/>
      <c r="I42" s="26" t="n"/>
      <c r="J42" s="26">
        <f>ROUND(D42*(J15+J17),2)</f>
        <v/>
      </c>
    </row>
    <row r="43" ht="14.25" customFormat="1" customHeight="1" s="12">
      <c r="A43" s="243" t="n"/>
      <c r="B43" s="243" t="n"/>
      <c r="C43" s="251" t="inlineStr">
        <is>
          <t>Сметная прибыль</t>
        </is>
      </c>
      <c r="D43" s="126">
        <f>ROUND(G43/(G$15+G$17),2)</f>
        <v/>
      </c>
      <c r="E43" s="252" t="n"/>
      <c r="F43" s="253" t="n"/>
      <c r="G43" s="26" t="n">
        <v>88.83</v>
      </c>
      <c r="H43" s="254" t="n"/>
      <c r="I43" s="26" t="n"/>
      <c r="J43" s="26">
        <f>ROUND(D43*(J15+J17),2)</f>
        <v/>
      </c>
    </row>
    <row r="44" ht="14.25" customFormat="1" customHeight="1" s="12">
      <c r="A44" s="243" t="n"/>
      <c r="B44" s="243" t="n"/>
      <c r="C44" s="251" t="inlineStr">
        <is>
          <t>Итого СМР (с НР и СП)</t>
        </is>
      </c>
      <c r="D44" s="243" t="n"/>
      <c r="E44" s="252" t="n"/>
      <c r="F44" s="253" t="n"/>
      <c r="G44" s="26">
        <f>G15+G25+G40+G42+G43</f>
        <v/>
      </c>
      <c r="H44" s="254" t="n"/>
      <c r="I44" s="26" t="n"/>
      <c r="J44" s="26">
        <f>J15+J25+J40+J42+J43</f>
        <v/>
      </c>
    </row>
    <row r="45" ht="14.25" customFormat="1" customHeight="1" s="12">
      <c r="A45" s="243" t="n"/>
      <c r="B45" s="243" t="n"/>
      <c r="C45" s="251" t="inlineStr">
        <is>
          <t>ВСЕГО СМР + ОБОРУДОВАНИЕ</t>
        </is>
      </c>
      <c r="D45" s="243" t="n"/>
      <c r="E45" s="252" t="n"/>
      <c r="F45" s="253" t="n"/>
      <c r="G45" s="26">
        <f>G44+G30</f>
        <v/>
      </c>
      <c r="H45" s="254" t="n"/>
      <c r="I45" s="26" t="n"/>
      <c r="J45" s="26">
        <f>J44+J30</f>
        <v/>
      </c>
    </row>
    <row r="46" ht="34.5" customFormat="1" customHeight="1" s="12">
      <c r="A46" s="243" t="n"/>
      <c r="B46" s="243" t="n"/>
      <c r="C46" s="251" t="inlineStr">
        <is>
          <t>ИТОГО ПОКАЗАТЕЛЬ НА ЕД. ИЗМ.</t>
        </is>
      </c>
      <c r="D46" s="243" t="inlineStr">
        <is>
          <t>1 ед</t>
        </is>
      </c>
      <c r="E46" s="324" t="n">
        <v>1</v>
      </c>
      <c r="F46" s="253" t="n"/>
      <c r="G46" s="26">
        <f>G45/E46</f>
        <v/>
      </c>
      <c r="H46" s="254" t="n"/>
      <c r="I46" s="26" t="n"/>
      <c r="J46" s="26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27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8" t="inlineStr">
        <is>
          <t>Расчет стоимости оборудования</t>
        </is>
      </c>
    </row>
    <row r="4">
      <c r="A4" s="221" t="inlineStr">
        <is>
          <t>Наименование разрабатываемого показателя УНЦ — Муфта концевая 6 кВ сечением 35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3" t="inlineStr">
        <is>
          <t>№ пп.</t>
        </is>
      </c>
      <c r="B6" s="243" t="inlineStr">
        <is>
          <t>Код ресурса</t>
        </is>
      </c>
      <c r="C6" s="243" t="inlineStr">
        <is>
          <t>Наименование</t>
        </is>
      </c>
      <c r="D6" s="243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99" t="n"/>
      <c r="B9" s="251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3" t="n"/>
      <c r="B10" s="250" t="n"/>
      <c r="C10" s="251" t="inlineStr">
        <is>
          <t>ИТОГО ИНЖЕНЕРНОЕ ОБОРУДОВАНИЕ</t>
        </is>
      </c>
      <c r="D10" s="250" t="n"/>
      <c r="E10" s="100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26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26">
        <f>G10+G12</f>
        <v/>
      </c>
    </row>
    <row r="14">
      <c r="A14" s="24" t="n"/>
      <c r="B14" s="101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24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6" t="n"/>
      <c r="B1" s="136" t="n"/>
      <c r="C1" s="136" t="n"/>
      <c r="D1" s="136" t="inlineStr">
        <is>
          <t>Приложение №7</t>
        </is>
      </c>
    </row>
    <row r="2" ht="15.75" customHeight="1">
      <c r="A2" s="136" t="n"/>
      <c r="B2" s="136" t="n"/>
      <c r="C2" s="136" t="n"/>
      <c r="D2" s="136" t="n"/>
    </row>
    <row r="3" ht="15.75" customHeight="1">
      <c r="A3" s="136" t="n"/>
      <c r="B3" s="148" t="inlineStr">
        <is>
          <t>Расчет показателя УНЦ</t>
        </is>
      </c>
      <c r="C3" s="136" t="n"/>
      <c r="D3" s="136" t="n"/>
    </row>
    <row r="4" ht="15.75" customHeight="1">
      <c r="A4" s="136" t="n"/>
      <c r="B4" s="136" t="n"/>
      <c r="C4" s="136" t="n"/>
      <c r="D4" s="136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36" t="inlineStr">
        <is>
          <t>Единица измерения  — 1 ед</t>
        </is>
      </c>
      <c r="B6" s="136" t="n"/>
      <c r="C6" s="136" t="n"/>
      <c r="D6" s="136" t="n"/>
    </row>
    <row r="7" ht="15.75" customHeight="1">
      <c r="A7" s="136" t="n"/>
      <c r="B7" s="136" t="n"/>
      <c r="C7" s="136" t="n"/>
      <c r="D7" s="136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К2-01-1</t>
        </is>
      </c>
      <c r="B11" s="231" t="inlineStr">
        <is>
          <t xml:space="preserve">УНЦ КЛ 6 - 500 кВ (с медной жилой) </t>
        </is>
      </c>
      <c r="C11" s="192">
        <f>D5</f>
        <v/>
      </c>
      <c r="D11" s="18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2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31.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31.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10.84</v>
      </c>
    </row>
    <row r="13" ht="31.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5.34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231" t="inlineStr">
        <is>
          <t>Письмо Минстроя России от 23.02.2023г. №9791-ИФ/09 прил.6</t>
        </is>
      </c>
      <c r="D14" s="231" t="n">
        <v>6.26</v>
      </c>
    </row>
    <row r="15" ht="78.7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0.025</v>
      </c>
    </row>
    <row r="16" ht="78.7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>
      <c r="B17" s="231" t="inlineStr">
        <is>
          <t>Пусконаладочные работы*</t>
        </is>
      </c>
      <c r="C17" s="231" t="n"/>
      <c r="D17" s="231" t="inlineStr">
        <is>
          <t>Расчет</t>
        </is>
      </c>
    </row>
    <row r="18" ht="31.5" customHeight="1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115" t="n">
        <v>0.0214</v>
      </c>
    </row>
    <row r="19" ht="15.75" customHeight="1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115" t="n">
        <v>0.002</v>
      </c>
    </row>
    <row r="20" ht="15.75" customHeight="1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115" t="n">
        <v>0.03</v>
      </c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4" ht="18.75" customHeight="1">
      <c r="B24" s="113" t="n"/>
    </row>
    <row r="27">
      <c r="B27" s="209" t="inlineStr">
        <is>
          <t>Составил ______________________        А.Р. Маркова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D11" sqref="D1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36" t="n"/>
      <c r="C4" s="136" t="n"/>
      <c r="D4" s="136" t="n"/>
      <c r="E4" s="136" t="n"/>
      <c r="F4" s="136" t="n"/>
      <c r="G4" s="136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36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36" t="n"/>
    </row>
    <row r="7" ht="110.25" customHeight="1">
      <c r="A7" s="203" t="inlineStr">
        <is>
          <t>1.1</t>
        </is>
      </c>
      <c r="B7" s="2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55" t="n">
        <v>47872.94</v>
      </c>
      <c r="F7" s="2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6" t="n"/>
    </row>
    <row r="8" ht="31.5" customHeight="1">
      <c r="A8" s="203" t="inlineStr">
        <is>
          <t>1.2</t>
        </is>
      </c>
      <c r="B8" s="204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81">
        <f>1973/12</f>
        <v/>
      </c>
      <c r="F8" s="204" t="inlineStr">
        <is>
          <t>Производственный календарь 2023 год
(40-часов.неделя)</t>
        </is>
      </c>
      <c r="G8" s="205" t="n"/>
    </row>
    <row r="9" ht="15.75" customHeight="1">
      <c r="A9" s="203" t="inlineStr">
        <is>
          <t>1.3</t>
        </is>
      </c>
      <c r="B9" s="204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81" t="n">
        <v>1</v>
      </c>
      <c r="F9" s="204" t="n"/>
      <c r="G9" s="205" t="n"/>
    </row>
    <row r="10" ht="15.75" customHeight="1">
      <c r="A10" s="203" t="inlineStr">
        <is>
          <t>1.4</t>
        </is>
      </c>
      <c r="B10" s="204" t="inlineStr">
        <is>
          <t>Средний разряд работ</t>
        </is>
      </c>
      <c r="C10" s="231" t="n"/>
      <c r="D10" s="231" t="n"/>
      <c r="E10" s="329" t="n">
        <v>3.8</v>
      </c>
      <c r="F10" s="204" t="inlineStr">
        <is>
          <t>РТМ</t>
        </is>
      </c>
      <c r="G10" s="205" t="n"/>
    </row>
    <row r="11" ht="78.75" customHeight="1">
      <c r="A11" s="203" t="inlineStr">
        <is>
          <t>1.5</t>
        </is>
      </c>
      <c r="B11" s="204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0" t="n">
        <v>1.308</v>
      </c>
      <c r="F11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6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49" t="inlineStr">
        <is>
          <t>Кинф</t>
        </is>
      </c>
      <c r="D12" s="149" t="inlineStr">
        <is>
          <t>-</t>
        </is>
      </c>
      <c r="E12" s="331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2025-01-24T12:04:52Z</dcterms:modified>
  <cp:lastModifiedBy>112</cp:lastModifiedBy>
  <cp:lastPrinted>2023-12-01T07:51:22Z</cp:lastPrinted>
</cp:coreProperties>
</file>