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6596" windowHeight="6024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right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5" zoomScale="70" zoomScaleNormal="55" workbookViewId="0">
      <selection activeCell="C27" sqref="C27"/>
    </sheetView>
  </sheetViews>
  <sheetFormatPr baseColWidth="8" defaultColWidth="9.109375" defaultRowHeight="15.6"/>
  <cols>
    <col width="9.109375" customWidth="1" style="300" min="1" max="2"/>
    <col width="51.6640625" customWidth="1" style="300" min="3" max="3"/>
    <col width="47" customWidth="1" style="300" min="4" max="4"/>
    <col width="37.44140625" customWidth="1" style="300" min="5" max="5"/>
    <col width="9.109375" customWidth="1" style="300" min="6" max="6"/>
  </cols>
  <sheetData>
    <row r="3">
      <c r="B3" s="313" t="inlineStr">
        <is>
          <t>Приложение № 1</t>
        </is>
      </c>
    </row>
    <row r="4">
      <c r="B4" s="314" t="inlineStr">
        <is>
          <t>Сравнительная таблица отбора объекта-представителя</t>
        </is>
      </c>
    </row>
    <row r="5" ht="84" customHeight="1" s="298">
      <c r="B5" s="31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8">
      <c r="B6" s="234" t="n"/>
      <c r="C6" s="234" t="n"/>
      <c r="D6" s="234" t="n"/>
    </row>
    <row r="7">
      <c r="B7" s="315" t="inlineStr">
        <is>
          <t>Наименование разрабатываемого показателя УНЦ - Муфта соединительная 6 кВ сечением 50 мм2.</t>
        </is>
      </c>
    </row>
    <row r="8">
      <c r="B8" s="315" t="inlineStr">
        <is>
          <t>Сопоставимый уровень цен: 2 квартал 2018 года</t>
        </is>
      </c>
    </row>
    <row r="9" ht="15.75" customHeight="1" s="298">
      <c r="B9" s="315" t="inlineStr">
        <is>
          <t>Единица измерения  — 1 ед</t>
        </is>
      </c>
    </row>
    <row r="10">
      <c r="B10" s="315" t="n"/>
    </row>
    <row r="11">
      <c r="B11" s="319" t="inlineStr">
        <is>
          <t>№ п/п</t>
        </is>
      </c>
      <c r="C11" s="319" t="inlineStr">
        <is>
          <t>Параметр</t>
        </is>
      </c>
      <c r="D11" s="319" t="inlineStr">
        <is>
          <t xml:space="preserve">Объект-представитель </t>
        </is>
      </c>
      <c r="E11" s="214" t="n"/>
    </row>
    <row r="12" ht="96.75" customHeight="1" s="298">
      <c r="B12" s="319" t="n">
        <v>1</v>
      </c>
      <c r="C12" s="323" t="inlineStr">
        <is>
          <t>Наименование объекта-представителя</t>
        </is>
      </c>
      <c r="D12" s="319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19" t="n">
        <v>2</v>
      </c>
      <c r="C13" s="323" t="inlineStr">
        <is>
          <t>Наименование субъекта Российской Федерации</t>
        </is>
      </c>
      <c r="D13" s="319" t="inlineStr">
        <is>
          <t>Челябинская область</t>
        </is>
      </c>
    </row>
    <row r="14">
      <c r="B14" s="319" t="n">
        <v>3</v>
      </c>
      <c r="C14" s="323" t="inlineStr">
        <is>
          <t>Климатический район и подрайон</t>
        </is>
      </c>
      <c r="D14" s="319" t="inlineStr">
        <is>
          <t>IВ</t>
        </is>
      </c>
    </row>
    <row r="15">
      <c r="B15" s="319" t="n">
        <v>4</v>
      </c>
      <c r="C15" s="323" t="inlineStr">
        <is>
          <t>Мощность объекта</t>
        </is>
      </c>
      <c r="D15" s="319" t="n">
        <v>1</v>
      </c>
    </row>
    <row r="16" ht="63" customHeight="1" s="298">
      <c r="B16" s="31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4" t="inlineStr">
        <is>
          <t>Муфта соединительная 6 кВ сечением 50 мм2</t>
        </is>
      </c>
    </row>
    <row r="17" ht="63" customHeight="1" s="298">
      <c r="B17" s="31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6">
        <f>D18+D19+D20+D21</f>
        <v/>
      </c>
      <c r="E17" s="233" t="n"/>
    </row>
    <row r="18">
      <c r="B18" s="281" t="inlineStr">
        <is>
          <t>6.1</t>
        </is>
      </c>
      <c r="C18" s="323" t="inlineStr">
        <is>
          <t>строительно-монтажные работы</t>
        </is>
      </c>
      <c r="D18" s="296" t="n">
        <v>12.37</v>
      </c>
    </row>
    <row r="19" ht="15.75" customHeight="1" s="298">
      <c r="B19" s="281" t="inlineStr">
        <is>
          <t>6.2</t>
        </is>
      </c>
      <c r="C19" s="323" t="inlineStr">
        <is>
          <t>оборудование и инвентарь</t>
        </is>
      </c>
      <c r="D19" s="296" t="n"/>
    </row>
    <row r="20" ht="16.5" customHeight="1" s="298">
      <c r="B20" s="281" t="inlineStr">
        <is>
          <t>6.3</t>
        </is>
      </c>
      <c r="C20" s="323" t="inlineStr">
        <is>
          <t>пусконаладочные работы</t>
        </is>
      </c>
      <c r="D20" s="296" t="n"/>
    </row>
    <row r="21">
      <c r="B21" s="281" t="inlineStr">
        <is>
          <t>6.4</t>
        </is>
      </c>
      <c r="C21" s="212" t="inlineStr">
        <is>
          <t>прочие и лимитированные затраты</t>
        </is>
      </c>
      <c r="D21" s="296">
        <f>D18*2.5%+(D18+D18*2.5%)*2.9%</f>
        <v/>
      </c>
    </row>
    <row r="22">
      <c r="B22" s="319" t="n">
        <v>7</v>
      </c>
      <c r="C22" s="212" t="inlineStr">
        <is>
          <t>Сопоставимый уровень цен</t>
        </is>
      </c>
      <c r="D22" s="278" t="inlineStr">
        <is>
          <t>2 квартал 2018 года</t>
        </is>
      </c>
      <c r="E22" s="210" t="n"/>
    </row>
    <row r="23" ht="78.75" customHeight="1" s="298">
      <c r="B23" s="319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6">
        <f>D17</f>
        <v/>
      </c>
      <c r="E23" s="233" t="n"/>
    </row>
    <row r="24" ht="31.5" customHeight="1" s="298">
      <c r="B24" s="31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6">
        <f>D23/D15</f>
        <v/>
      </c>
      <c r="E24" s="210" t="n"/>
    </row>
    <row r="25">
      <c r="B25" s="319" t="n">
        <v>10</v>
      </c>
      <c r="C25" s="323" t="inlineStr">
        <is>
          <t>Примечание</t>
        </is>
      </c>
      <c r="D25" s="319" t="n"/>
    </row>
    <row r="26">
      <c r="B26" s="208" t="n"/>
      <c r="C26" s="207" t="n"/>
      <c r="D26" s="207" t="n"/>
    </row>
    <row r="27" ht="37.5" customHeight="1" s="298">
      <c r="B27" s="206" t="n"/>
    </row>
    <row r="28">
      <c r="B28" s="300" t="inlineStr">
        <is>
          <t>Составил ______________________    А.Р. Маркова</t>
        </is>
      </c>
    </row>
    <row r="29">
      <c r="B29" s="206" t="inlineStr">
        <is>
          <t xml:space="preserve">                         (подпись, инициалы, фамилия)</t>
        </is>
      </c>
    </row>
    <row r="31">
      <c r="B31" s="300" t="inlineStr">
        <is>
          <t>Проверил ______________________        А.В. Костянецкая</t>
        </is>
      </c>
    </row>
    <row r="32">
      <c r="B32" s="20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6" sqref="C16"/>
    </sheetView>
  </sheetViews>
  <sheetFormatPr baseColWidth="8" defaultColWidth="9.109375" defaultRowHeight="15.6"/>
  <cols>
    <col width="5.5546875" customWidth="1" style="300" min="1" max="1"/>
    <col width="9.109375" customWidth="1" style="300" min="2" max="2"/>
    <col width="35.33203125" customWidth="1" style="300" min="3" max="3"/>
    <col width="13.88671875" customWidth="1" style="300" min="4" max="4"/>
    <col width="24.88671875" customWidth="1" style="300" min="5" max="5"/>
    <col width="15.5546875" customWidth="1" style="300" min="6" max="6"/>
    <col width="14.88671875" customWidth="1" style="300" min="7" max="7"/>
    <col width="16.6640625" customWidth="1" style="300" min="8" max="8"/>
    <col width="13" customWidth="1" style="300" min="9" max="10"/>
    <col width="18" customWidth="1" style="300" min="11" max="11"/>
    <col width="9.109375" customWidth="1" style="300" min="12" max="12"/>
  </cols>
  <sheetData>
    <row r="3">
      <c r="B3" s="313" t="inlineStr">
        <is>
          <t>Приложение № 2</t>
        </is>
      </c>
      <c r="K3" s="206" t="n"/>
    </row>
    <row r="4">
      <c r="B4" s="314" t="inlineStr">
        <is>
          <t>Расчет стоимости основных видов работ для выбора объекта-представителя</t>
        </is>
      </c>
    </row>
    <row r="5">
      <c r="B5" s="324" t="n"/>
      <c r="C5" s="324" t="n"/>
      <c r="D5" s="324" t="n"/>
      <c r="E5" s="324" t="n"/>
      <c r="F5" s="324" t="n"/>
      <c r="G5" s="324" t="n"/>
      <c r="H5" s="324" t="n"/>
      <c r="I5" s="324" t="n"/>
      <c r="J5" s="324" t="n"/>
      <c r="K5" s="324" t="n"/>
    </row>
    <row r="6" ht="29.25" customHeight="1" s="298">
      <c r="B6" s="315">
        <f>'Прил.1 Сравнит табл'!B7:D7</f>
        <v/>
      </c>
    </row>
    <row r="7">
      <c r="B7" s="315">
        <f>'Прил.1 Сравнит табл'!B9:D9</f>
        <v/>
      </c>
    </row>
    <row r="8" ht="18.75" customHeight="1" s="298">
      <c r="B8" s="235" t="n"/>
    </row>
    <row r="9" ht="15.75" customHeight="1" s="298">
      <c r="B9" s="319" t="inlineStr">
        <is>
          <t>№ п/п</t>
        </is>
      </c>
      <c r="C9" s="3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19" t="inlineStr">
        <is>
          <t>Объект-представитель 1</t>
        </is>
      </c>
      <c r="E9" s="410" t="n"/>
      <c r="F9" s="410" t="n"/>
      <c r="G9" s="410" t="n"/>
      <c r="H9" s="410" t="n"/>
      <c r="I9" s="410" t="n"/>
      <c r="J9" s="411" t="n"/>
    </row>
    <row r="10" ht="15.75" customHeight="1" s="298">
      <c r="B10" s="412" t="n"/>
      <c r="C10" s="412" t="n"/>
      <c r="D10" s="319" t="inlineStr">
        <is>
          <t>Номер сметы</t>
        </is>
      </c>
      <c r="E10" s="319" t="inlineStr">
        <is>
          <t>Наименование сметы</t>
        </is>
      </c>
      <c r="F10" s="319" t="inlineStr">
        <is>
          <t>Сметная стоимость в уровне цен 2 кв. 2018 г., тыс. руб.</t>
        </is>
      </c>
      <c r="G10" s="410" t="n"/>
      <c r="H10" s="410" t="n"/>
      <c r="I10" s="410" t="n"/>
      <c r="J10" s="411" t="n"/>
    </row>
    <row r="11" ht="31.5" customHeight="1" s="298">
      <c r="B11" s="413" t="n"/>
      <c r="C11" s="413" t="n"/>
      <c r="D11" s="413" t="n"/>
      <c r="E11" s="413" t="n"/>
      <c r="F11" s="319" t="inlineStr">
        <is>
          <t>Строительные работы</t>
        </is>
      </c>
      <c r="G11" s="319" t="inlineStr">
        <is>
          <t>Монтажные работы</t>
        </is>
      </c>
      <c r="H11" s="319" t="inlineStr">
        <is>
          <t>Оборудование</t>
        </is>
      </c>
      <c r="I11" s="319" t="inlineStr">
        <is>
          <t>Прочее</t>
        </is>
      </c>
      <c r="J11" s="319" t="inlineStr">
        <is>
          <t>Всего</t>
        </is>
      </c>
    </row>
    <row r="12" ht="220.5" customHeight="1" s="298">
      <c r="B12" s="319" t="n">
        <v>1</v>
      </c>
      <c r="C12" s="319" t="inlineStr">
        <is>
          <t>Муфта соединительная 6 кВ сечением 50 мм2</t>
        </is>
      </c>
      <c r="D12" s="281" t="inlineStr">
        <is>
          <t>02-01-05</t>
        </is>
      </c>
      <c r="E12" s="319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23" t="n"/>
      <c r="G12" s="289">
        <f>12370.8606/1000</f>
        <v/>
      </c>
      <c r="H12" s="289" t="n"/>
      <c r="I12" s="289" t="n"/>
      <c r="J12" s="289">
        <f>SUM(F12:I12)</f>
        <v/>
      </c>
    </row>
    <row r="13" ht="15" customHeight="1" s="298">
      <c r="B13" s="317" t="inlineStr">
        <is>
          <t>Всего по объекту:</t>
        </is>
      </c>
      <c r="C13" s="414" t="n"/>
      <c r="D13" s="414" t="n"/>
      <c r="E13" s="415" t="n"/>
      <c r="F13" s="284" t="n"/>
      <c r="G13" s="285">
        <f>SUM(G12)</f>
        <v/>
      </c>
      <c r="H13" s="285" t="n"/>
      <c r="I13" s="285" t="n"/>
      <c r="J13" s="283">
        <f>SUM(J12)</f>
        <v/>
      </c>
    </row>
    <row r="14" ht="15.75" customHeight="1" s="298">
      <c r="B14" s="318" t="inlineStr">
        <is>
          <t>Всего по объекту в сопоставимом уровне цен 2 кв. 2018 г:</t>
        </is>
      </c>
      <c r="C14" s="410" t="n"/>
      <c r="D14" s="410" t="n"/>
      <c r="E14" s="411" t="n"/>
      <c r="F14" s="286" t="n"/>
      <c r="G14" s="287">
        <f>G13</f>
        <v/>
      </c>
      <c r="H14" s="287" t="n"/>
      <c r="I14" s="287" t="n"/>
      <c r="J14" s="283">
        <f>J13</f>
        <v/>
      </c>
    </row>
    <row r="15" ht="15" customHeight="1" s="298"/>
    <row r="16" ht="15" customHeight="1" s="298"/>
    <row r="17" ht="15" customHeight="1" s="298"/>
    <row r="18" ht="15" customHeight="1" s="298">
      <c r="C18" s="272" t="inlineStr">
        <is>
          <t>Составил ______________________     А.Р. Маркова</t>
        </is>
      </c>
      <c r="D18" s="273" t="n"/>
      <c r="E18" s="273" t="n"/>
    </row>
    <row r="19" ht="15" customHeight="1" s="298">
      <c r="C19" s="275" t="inlineStr">
        <is>
          <t xml:space="preserve">                         (подпись, инициалы, фамилия)</t>
        </is>
      </c>
      <c r="D19" s="273" t="n"/>
      <c r="E19" s="273" t="n"/>
    </row>
    <row r="20" ht="15" customHeight="1" s="298">
      <c r="C20" s="272" t="n"/>
      <c r="D20" s="273" t="n"/>
      <c r="E20" s="273" t="n"/>
    </row>
    <row r="21" ht="15" customHeight="1" s="298">
      <c r="C21" s="272" t="inlineStr">
        <is>
          <t>Проверил ______________________        А.В. Костянецкая</t>
        </is>
      </c>
      <c r="D21" s="273" t="n"/>
      <c r="E21" s="273" t="n"/>
    </row>
    <row r="22" ht="15" customHeight="1" s="298">
      <c r="C22" s="275" t="inlineStr">
        <is>
          <t xml:space="preserve">                        (подпись, инициалы, фамилия)</t>
        </is>
      </c>
      <c r="D22" s="273" t="n"/>
      <c r="E22" s="273" t="n"/>
    </row>
    <row r="23" ht="15" customHeight="1" s="298"/>
    <row r="24" ht="15" customHeight="1" s="298"/>
    <row r="25" ht="15" customHeight="1" s="298"/>
    <row r="26" ht="15" customHeight="1" s="298"/>
    <row r="27" ht="15" customHeight="1" s="298"/>
    <row r="28" ht="15" customHeight="1" s="29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9"/>
  <sheetViews>
    <sheetView view="pageBreakPreview" workbookViewId="0">
      <selection activeCell="C24" sqref="C24"/>
    </sheetView>
  </sheetViews>
  <sheetFormatPr baseColWidth="8" defaultColWidth="9.109375" defaultRowHeight="15.6"/>
  <cols>
    <col width="9.109375" customWidth="1" style="300" min="1" max="1"/>
    <col width="12.5546875" customWidth="1" style="300" min="2" max="2"/>
    <col width="22.44140625" customWidth="1" style="300" min="3" max="3"/>
    <col width="49.6640625" customWidth="1" style="300" min="4" max="4"/>
    <col width="10.109375" customWidth="1" style="300" min="5" max="5"/>
    <col width="20.6640625" customWidth="1" style="300" min="6" max="6"/>
    <col width="20" customWidth="1" style="300" min="7" max="7"/>
    <col width="16.6640625" customWidth="1" style="300" min="8" max="8"/>
    <col width="9.109375" customWidth="1" style="300" min="9" max="10"/>
    <col width="15" customWidth="1" style="300" min="11" max="11"/>
    <col width="9.109375" customWidth="1" style="300" min="12" max="12"/>
  </cols>
  <sheetData>
    <row r="2">
      <c r="A2" s="313" t="inlineStr">
        <is>
          <t xml:space="preserve">Приложение № 3 </t>
        </is>
      </c>
    </row>
    <row r="3">
      <c r="A3" s="314" t="inlineStr">
        <is>
          <t>Объектная ресурсная ведомость</t>
        </is>
      </c>
    </row>
    <row r="4" ht="18.75" customHeight="1" s="298">
      <c r="A4" s="240" t="n"/>
      <c r="B4" s="240" t="n"/>
      <c r="C4" s="325" t="n"/>
    </row>
    <row r="5">
      <c r="A5" s="315" t="n"/>
    </row>
    <row r="6">
      <c r="A6" s="324" t="inlineStr">
        <is>
          <t>Наименование разрабатываемого показателя УНЦ -  Муфта соединительная 6 кВ сечением 50 мм2.</t>
        </is>
      </c>
    </row>
    <row r="7">
      <c r="A7" s="216" t="n"/>
      <c r="B7" s="216" t="n"/>
      <c r="C7" s="216" t="n"/>
      <c r="D7" s="216" t="n"/>
      <c r="E7" s="216" t="n"/>
      <c r="F7" s="216" t="n"/>
      <c r="G7" s="216" t="n"/>
      <c r="H7" s="216" t="n"/>
    </row>
    <row r="8" ht="38.25" customHeight="1" s="298">
      <c r="A8" s="319" t="inlineStr">
        <is>
          <t>п/п</t>
        </is>
      </c>
      <c r="B8" s="319" t="inlineStr">
        <is>
          <t>№ЛСР</t>
        </is>
      </c>
      <c r="C8" s="319" t="inlineStr">
        <is>
          <t>Код ресурса</t>
        </is>
      </c>
      <c r="D8" s="319" t="inlineStr">
        <is>
          <t>Наименование ресурса</t>
        </is>
      </c>
      <c r="E8" s="319" t="inlineStr">
        <is>
          <t>Ед. изм.</t>
        </is>
      </c>
      <c r="F8" s="319" t="inlineStr">
        <is>
          <t>Кол-во единиц по данным объекта-представителя</t>
        </is>
      </c>
      <c r="G8" s="319" t="inlineStr">
        <is>
          <t>Сметная стоимость в ценах на 01.01.2000 (руб.)</t>
        </is>
      </c>
      <c r="H8" s="411" t="n"/>
    </row>
    <row r="9" ht="40.5" customHeight="1" s="298">
      <c r="A9" s="413" t="n"/>
      <c r="B9" s="413" t="n"/>
      <c r="C9" s="413" t="n"/>
      <c r="D9" s="413" t="n"/>
      <c r="E9" s="413" t="n"/>
      <c r="F9" s="413" t="n"/>
      <c r="G9" s="319" t="inlineStr">
        <is>
          <t>на ед.изм.</t>
        </is>
      </c>
      <c r="H9" s="319" t="inlineStr">
        <is>
          <t>общая</t>
        </is>
      </c>
    </row>
    <row r="10">
      <c r="A10" s="218" t="n">
        <v>1</v>
      </c>
      <c r="B10" s="218" t="n"/>
      <c r="C10" s="218" t="n">
        <v>2</v>
      </c>
      <c r="D10" s="218" t="inlineStr">
        <is>
          <t>З</t>
        </is>
      </c>
      <c r="E10" s="218" t="n">
        <v>4</v>
      </c>
      <c r="F10" s="218" t="n">
        <v>5</v>
      </c>
      <c r="G10" s="218" t="n">
        <v>6</v>
      </c>
      <c r="H10" s="218" t="n">
        <v>7</v>
      </c>
    </row>
    <row r="11" customFormat="1" s="267">
      <c r="A11" s="321" t="inlineStr">
        <is>
          <t>Затраты труда рабочих</t>
        </is>
      </c>
      <c r="B11" s="410" t="n"/>
      <c r="C11" s="410" t="n"/>
      <c r="D11" s="410" t="n"/>
      <c r="E11" s="411" t="n"/>
      <c r="F11" s="416">
        <f>SUM(F12:F12)</f>
        <v/>
      </c>
      <c r="G11" s="238" t="n"/>
      <c r="H11" s="416">
        <f>SUM(H12:H12)</f>
        <v/>
      </c>
    </row>
    <row r="12">
      <c r="A12" s="330" t="n">
        <v>1</v>
      </c>
      <c r="B12" s="290" t="n"/>
      <c r="C12" s="243" t="inlineStr">
        <is>
          <t>1-3-8</t>
        </is>
      </c>
      <c r="D12" s="338" t="inlineStr">
        <is>
          <t>Затраты труда рабочих (средний разряд работы 3,8)</t>
        </is>
      </c>
      <c r="E12" s="330" t="inlineStr">
        <is>
          <t>чел.-ч</t>
        </is>
      </c>
      <c r="F12" s="330" t="n">
        <v>17.46</v>
      </c>
      <c r="G12" s="417" t="n">
        <v>9.4</v>
      </c>
      <c r="H12" s="196">
        <f>ROUND(F12*G12,2)</f>
        <v/>
      </c>
      <c r="M12" s="418" t="n"/>
    </row>
    <row r="13">
      <c r="A13" s="320" t="inlineStr">
        <is>
          <t>Затраты труда машинистов</t>
        </is>
      </c>
      <c r="B13" s="410" t="n"/>
      <c r="C13" s="410" t="n"/>
      <c r="D13" s="410" t="n"/>
      <c r="E13" s="411" t="n"/>
      <c r="F13" s="321" t="n"/>
      <c r="G13" s="293" t="n"/>
      <c r="H13" s="416">
        <f>H14</f>
        <v/>
      </c>
    </row>
    <row r="14">
      <c r="A14" s="330" t="n">
        <v>2</v>
      </c>
      <c r="B14" s="322" t="n"/>
      <c r="C14" s="243" t="n">
        <v>2</v>
      </c>
      <c r="D14" s="338" t="inlineStr">
        <is>
          <t>Затраты труда машинистов</t>
        </is>
      </c>
      <c r="E14" s="330" t="inlineStr">
        <is>
          <t>чел.-ч</t>
        </is>
      </c>
      <c r="F14" s="330" t="n">
        <v>0.06</v>
      </c>
      <c r="G14" s="196" t="n"/>
      <c r="H14" s="340" t="n">
        <v>0.78</v>
      </c>
    </row>
    <row r="15" customFormat="1" s="267">
      <c r="A15" s="321" t="inlineStr">
        <is>
          <t>Машины и механизмы</t>
        </is>
      </c>
      <c r="B15" s="410" t="n"/>
      <c r="C15" s="410" t="n"/>
      <c r="D15" s="410" t="n"/>
      <c r="E15" s="411" t="n"/>
      <c r="F15" s="321" t="n"/>
      <c r="G15" s="293" t="n"/>
      <c r="H15" s="416">
        <f>SUM(H16:H17)</f>
        <v/>
      </c>
    </row>
    <row r="16">
      <c r="A16" s="330" t="n">
        <v>3</v>
      </c>
      <c r="B16" s="322" t="n"/>
      <c r="C16" s="243" t="inlineStr">
        <is>
          <t>91.05.05-015</t>
        </is>
      </c>
      <c r="D16" s="338" t="inlineStr">
        <is>
          <t>Краны на автомобильном ходу, грузоподъемность 16 т</t>
        </is>
      </c>
      <c r="E16" s="330" t="inlineStr">
        <is>
          <t>маш.час</t>
        </is>
      </c>
      <c r="F16" s="243" t="n">
        <v>0.03</v>
      </c>
      <c r="G16" s="340" t="n">
        <v>115.4</v>
      </c>
      <c r="H16" s="196">
        <f>ROUND(F16*G16,2)</f>
        <v/>
      </c>
      <c r="I16" s="250" t="n"/>
      <c r="J16" s="250" t="n"/>
      <c r="L16" s="250" t="n"/>
    </row>
    <row r="17" customFormat="1" s="267">
      <c r="A17" s="330" t="n">
        <v>4</v>
      </c>
      <c r="B17" s="322" t="n"/>
      <c r="C17" s="243" t="inlineStr">
        <is>
          <t>91.14.02-001</t>
        </is>
      </c>
      <c r="D17" s="338" t="inlineStr">
        <is>
          <t>Автомобили бортовые, грузоподъемность: до 5 т</t>
        </is>
      </c>
      <c r="E17" s="330" t="inlineStr">
        <is>
          <t>маш.час</t>
        </is>
      </c>
      <c r="F17" s="243" t="n">
        <v>0.03</v>
      </c>
      <c r="G17" s="340" t="n">
        <v>65.70999999999999</v>
      </c>
      <c r="H17" s="196">
        <f>ROUND(F17*G17,2)</f>
        <v/>
      </c>
      <c r="I17" s="250" t="n"/>
      <c r="J17" s="250" t="n"/>
      <c r="K17" s="251" t="n"/>
      <c r="L17" s="250" t="n"/>
    </row>
    <row r="18">
      <c r="A18" s="321" t="inlineStr">
        <is>
          <t>Материалы</t>
        </is>
      </c>
      <c r="B18" s="410" t="n"/>
      <c r="C18" s="410" t="n"/>
      <c r="D18" s="410" t="n"/>
      <c r="E18" s="411" t="n"/>
      <c r="F18" s="321" t="n"/>
      <c r="G18" s="293" t="n"/>
      <c r="H18" s="416">
        <f>SUM(H19:H23)</f>
        <v/>
      </c>
    </row>
    <row r="19">
      <c r="A19" s="156" t="n">
        <v>5</v>
      </c>
      <c r="B19" s="156" t="n"/>
      <c r="C19" s="330" t="inlineStr">
        <is>
          <t>Прайс из СД ОП</t>
        </is>
      </c>
      <c r="D19" s="221" t="inlineStr">
        <is>
          <t>Муфта соединительная 6 кВ сечением 50 мм2</t>
        </is>
      </c>
      <c r="E19" s="330" t="inlineStr">
        <is>
          <t>шт</t>
        </is>
      </c>
      <c r="F19" s="330" t="n">
        <v>6</v>
      </c>
      <c r="G19" s="221" t="n">
        <v>302.35</v>
      </c>
      <c r="H19" s="196">
        <f>ROUND(F19*G19,2)</f>
        <v/>
      </c>
    </row>
    <row r="20">
      <c r="A20" s="295" t="n">
        <v>6</v>
      </c>
      <c r="B20" s="322" t="n"/>
      <c r="C20" s="243" t="inlineStr">
        <is>
          <t>20.2.01.05-0007</t>
        </is>
      </c>
      <c r="D20" s="338" t="inlineStr">
        <is>
          <t>Гильза кабельная: медная ГМ 35</t>
        </is>
      </c>
      <c r="E20" s="330" t="inlineStr">
        <is>
          <t>100 шт</t>
        </is>
      </c>
      <c r="F20" s="243" t="n">
        <v>0.093</v>
      </c>
      <c r="G20" s="340" t="n">
        <v>378</v>
      </c>
      <c r="H20" s="196">
        <f>ROUND(F20*G20,2)</f>
        <v/>
      </c>
      <c r="I20" s="236" t="n"/>
      <c r="J20" s="250" t="n"/>
      <c r="K20" s="250" t="n"/>
    </row>
    <row r="21">
      <c r="A21" s="156" t="n">
        <v>7</v>
      </c>
      <c r="B21" s="322" t="n"/>
      <c r="C21" s="243" t="inlineStr">
        <is>
          <t>01.3.01.01-0001</t>
        </is>
      </c>
      <c r="D21" s="338" t="inlineStr">
        <is>
          <t>Бензин авиационный Б-70</t>
        </is>
      </c>
      <c r="E21" s="330" t="inlineStr">
        <is>
          <t>т</t>
        </is>
      </c>
      <c r="F21" s="243" t="n">
        <v>0.0024</v>
      </c>
      <c r="G21" s="340" t="n">
        <v>4488.4</v>
      </c>
      <c r="H21" s="196">
        <f>ROUND(F21*G21,2)</f>
        <v/>
      </c>
      <c r="I21" s="236" t="n"/>
      <c r="J21" s="250" t="n"/>
      <c r="K21" s="250" t="n"/>
    </row>
    <row r="22">
      <c r="A22" s="156" t="n">
        <v>8</v>
      </c>
      <c r="B22" s="322" t="n"/>
      <c r="C22" s="243" t="inlineStr">
        <is>
          <t>01.7.06.07-0002</t>
        </is>
      </c>
      <c r="D22" s="338" t="inlineStr">
        <is>
          <t>Лента монтажная, тип ЛМ-5</t>
        </is>
      </c>
      <c r="E22" s="330" t="inlineStr">
        <is>
          <t>10 м</t>
        </is>
      </c>
      <c r="F22" s="330" t="n">
        <v>0.07199999999999999</v>
      </c>
      <c r="G22" s="340" t="n">
        <v>6.9</v>
      </c>
      <c r="H22" s="196">
        <f>ROUND(F22*G22,2)</f>
        <v/>
      </c>
      <c r="I22" s="236" t="n"/>
      <c r="J22" s="250" t="n"/>
      <c r="K22" s="250" t="n"/>
    </row>
    <row r="23">
      <c r="A23" s="295" t="n">
        <v>9</v>
      </c>
      <c r="B23" s="322" t="n"/>
      <c r="C23" s="243" t="inlineStr">
        <is>
          <t>01.3.01.05-0009</t>
        </is>
      </c>
      <c r="D23" s="338" t="inlineStr">
        <is>
          <t>Парафины нефтяные твердые марки Т-1</t>
        </is>
      </c>
      <c r="E23" s="330" t="inlineStr">
        <is>
          <t>т</t>
        </is>
      </c>
      <c r="F23" s="330" t="n">
        <v>6e-05</v>
      </c>
      <c r="G23" s="340" t="n">
        <v>8105.71</v>
      </c>
      <c r="H23" s="196">
        <f>ROUND(F23*G23,2)</f>
        <v/>
      </c>
      <c r="I23" s="236" t="n"/>
      <c r="J23" s="250" t="n"/>
      <c r="K23" s="250" t="n"/>
    </row>
    <row r="25">
      <c r="B25" s="300" t="inlineStr">
        <is>
          <t>Составил ______________________     А.Р. Маркова</t>
        </is>
      </c>
    </row>
    <row r="26">
      <c r="B26" s="206" t="inlineStr">
        <is>
          <t xml:space="preserve">                         (подпись, инициалы, фамилия)</t>
        </is>
      </c>
    </row>
    <row r="28">
      <c r="B28" s="300" t="inlineStr">
        <is>
          <t>Проверил ______________________        А.В. Костянецкая</t>
        </is>
      </c>
    </row>
    <row r="29">
      <c r="B29" s="20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09375" defaultRowHeight="14.4"/>
  <cols>
    <col width="4.109375" customWidth="1" style="298" min="1" max="1"/>
    <col width="36.33203125" customWidth="1" style="298" min="2" max="2"/>
    <col width="18.88671875" customWidth="1" style="298" min="3" max="3"/>
    <col width="18.33203125" customWidth="1" style="298" min="4" max="4"/>
    <col width="18.88671875" customWidth="1" style="298" min="5" max="5"/>
    <col width="11.44140625" customWidth="1" style="298" min="6" max="6"/>
    <col width="14.44140625" customWidth="1" style="298" min="7" max="7"/>
    <col width="9.109375" customWidth="1" style="298" min="8" max="11"/>
    <col width="13.5546875" customWidth="1" style="298" min="12" max="12"/>
    <col width="9.109375" customWidth="1" style="298" min="13" max="13"/>
  </cols>
  <sheetData>
    <row r="1">
      <c r="B1" s="272" t="n"/>
      <c r="C1" s="272" t="n"/>
      <c r="D1" s="272" t="n"/>
      <c r="E1" s="272" t="n"/>
    </row>
    <row r="2">
      <c r="B2" s="272" t="n"/>
      <c r="C2" s="272" t="n"/>
      <c r="D2" s="272" t="n"/>
      <c r="E2" s="346" t="inlineStr">
        <is>
          <t>Приложение № 4</t>
        </is>
      </c>
    </row>
    <row r="3">
      <c r="B3" s="272" t="n"/>
      <c r="C3" s="272" t="n"/>
      <c r="D3" s="272" t="n"/>
      <c r="E3" s="272" t="n"/>
    </row>
    <row r="4">
      <c r="B4" s="272" t="n"/>
      <c r="C4" s="272" t="n"/>
      <c r="D4" s="272" t="n"/>
      <c r="E4" s="272" t="n"/>
    </row>
    <row r="5">
      <c r="B5" s="303" t="inlineStr">
        <is>
          <t>Ресурсная модель</t>
        </is>
      </c>
    </row>
    <row r="6">
      <c r="B6" s="229" t="n"/>
      <c r="C6" s="272" t="n"/>
      <c r="D6" s="272" t="n"/>
      <c r="E6" s="272" t="n"/>
    </row>
    <row r="7">
      <c r="B7" s="312" t="inlineStr">
        <is>
          <t>Наименование разрабатываемого показателя УНЦ — Муфта соединительная 6 кВ сечением 50 мм2.</t>
        </is>
      </c>
    </row>
    <row r="8">
      <c r="B8" s="326" t="inlineStr">
        <is>
          <t>Единица измерения  — 1 ед</t>
        </is>
      </c>
    </row>
    <row r="9">
      <c r="B9" s="229" t="n"/>
      <c r="C9" s="272" t="n"/>
      <c r="D9" s="272" t="n"/>
      <c r="E9" s="272" t="n"/>
    </row>
    <row r="10" ht="51" customHeight="1" s="298">
      <c r="B10" s="330" t="inlineStr">
        <is>
          <t>Наименование</t>
        </is>
      </c>
      <c r="C10" s="330" t="inlineStr">
        <is>
          <t>Сметная стоимость в ценах на 01.01.2023
 (руб.)</t>
        </is>
      </c>
      <c r="D10" s="330" t="inlineStr">
        <is>
          <t>Удельный вес, 
(в СМР)</t>
        </is>
      </c>
      <c r="E10" s="330" t="inlineStr">
        <is>
          <t>Удельный вес, % 
(от всего по РМ)</t>
        </is>
      </c>
    </row>
    <row r="11">
      <c r="B11" s="221" t="inlineStr">
        <is>
          <t>Оплата труда рабочих</t>
        </is>
      </c>
      <c r="C11" s="222">
        <f>'Прил.5 Расчет СМР и ОБ'!J15</f>
        <v/>
      </c>
      <c r="D11" s="223">
        <f>C11/$C$24</f>
        <v/>
      </c>
      <c r="E11" s="223">
        <f>C11/$C$40</f>
        <v/>
      </c>
    </row>
    <row r="12">
      <c r="B12" s="221" t="inlineStr">
        <is>
          <t>Эксплуатация машин основных</t>
        </is>
      </c>
      <c r="C12" s="222">
        <f>'Прил.5 Расчет СМР и ОБ'!J22</f>
        <v/>
      </c>
      <c r="D12" s="223">
        <f>C12/$C$24</f>
        <v/>
      </c>
      <c r="E12" s="223">
        <f>C12/$C$40</f>
        <v/>
      </c>
    </row>
    <row r="13">
      <c r="B13" s="221" t="inlineStr">
        <is>
          <t>Эксплуатация машин прочих</t>
        </is>
      </c>
      <c r="C13" s="222">
        <f>'Прил.5 Расчет СМР и ОБ'!J23</f>
        <v/>
      </c>
      <c r="D13" s="223">
        <f>C13/$C$24</f>
        <v/>
      </c>
      <c r="E13" s="223">
        <f>C13/$C$40</f>
        <v/>
      </c>
    </row>
    <row r="14">
      <c r="B14" s="221" t="inlineStr">
        <is>
          <t>ЭКСПЛУАТАЦИЯ МАШИН, ВСЕГО:</t>
        </is>
      </c>
      <c r="C14" s="222">
        <f>C13+C12</f>
        <v/>
      </c>
      <c r="D14" s="223">
        <f>C14/$C$24</f>
        <v/>
      </c>
      <c r="E14" s="223">
        <f>C14/$C$40</f>
        <v/>
      </c>
    </row>
    <row r="15">
      <c r="B15" s="221" t="inlineStr">
        <is>
          <t>в том числе зарплата машинистов</t>
        </is>
      </c>
      <c r="C15" s="222">
        <f>'Прил.5 Расчет СМР и ОБ'!J17</f>
        <v/>
      </c>
      <c r="D15" s="223">
        <f>C15/$C$24</f>
        <v/>
      </c>
      <c r="E15" s="223">
        <f>C15/$C$40</f>
        <v/>
      </c>
    </row>
    <row r="16">
      <c r="B16" s="221" t="inlineStr">
        <is>
          <t>Материалы основные</t>
        </is>
      </c>
      <c r="C16" s="222">
        <f>'Прил.5 Расчет СМР и ОБ'!J34</f>
        <v/>
      </c>
      <c r="D16" s="223">
        <f>C16/$C$24</f>
        <v/>
      </c>
      <c r="E16" s="223">
        <f>C16/$C$40</f>
        <v/>
      </c>
    </row>
    <row r="17">
      <c r="B17" s="221" t="inlineStr">
        <is>
          <t>Материалы прочие</t>
        </is>
      </c>
      <c r="C17" s="222">
        <f>'Прил.5 Расчет СМР и ОБ'!J39</f>
        <v/>
      </c>
      <c r="D17" s="223">
        <f>C17/$C$24</f>
        <v/>
      </c>
      <c r="E17" s="223">
        <f>C17/$C$40</f>
        <v/>
      </c>
      <c r="G17" s="419" t="n"/>
    </row>
    <row r="18">
      <c r="B18" s="221" t="inlineStr">
        <is>
          <t>МАТЕРИАЛЫ, ВСЕГО:</t>
        </is>
      </c>
      <c r="C18" s="222">
        <f>C17+C16</f>
        <v/>
      </c>
      <c r="D18" s="223">
        <f>C18/$C$24</f>
        <v/>
      </c>
      <c r="E18" s="223">
        <f>C18/$C$40</f>
        <v/>
      </c>
    </row>
    <row r="19">
      <c r="B19" s="221" t="inlineStr">
        <is>
          <t>ИТОГО</t>
        </is>
      </c>
      <c r="C19" s="222">
        <f>C18+C14+C11</f>
        <v/>
      </c>
      <c r="D19" s="223" t="n"/>
      <c r="E19" s="221" t="n"/>
    </row>
    <row r="20">
      <c r="B20" s="221" t="inlineStr">
        <is>
          <t>Сметная прибыль, руб.</t>
        </is>
      </c>
      <c r="C20" s="222">
        <f>ROUND(C21*(C11+C15),2)</f>
        <v/>
      </c>
      <c r="D20" s="223">
        <f>C20/$C$24</f>
        <v/>
      </c>
      <c r="E20" s="223">
        <f>C20/$C$40</f>
        <v/>
      </c>
    </row>
    <row r="21">
      <c r="B21" s="221" t="inlineStr">
        <is>
          <t>Сметная прибыль, %</t>
        </is>
      </c>
      <c r="C21" s="226">
        <f>'Прил.5 Расчет СМР и ОБ'!D43</f>
        <v/>
      </c>
      <c r="D21" s="223" t="n"/>
      <c r="E21" s="221" t="n"/>
    </row>
    <row r="22">
      <c r="B22" s="221" t="inlineStr">
        <is>
          <t>Накладные расходы, руб.</t>
        </is>
      </c>
      <c r="C22" s="222">
        <f>ROUND(C23*(C11+C15),2)</f>
        <v/>
      </c>
      <c r="D22" s="223">
        <f>C22/$C$24</f>
        <v/>
      </c>
      <c r="E22" s="223">
        <f>C22/$C$40</f>
        <v/>
      </c>
    </row>
    <row r="23">
      <c r="B23" s="221" t="inlineStr">
        <is>
          <t>Накладные расходы, %</t>
        </is>
      </c>
      <c r="C23" s="226">
        <f>'Прил.5 Расчет СМР и ОБ'!D42</f>
        <v/>
      </c>
      <c r="D23" s="223" t="n"/>
      <c r="E23" s="221" t="n"/>
    </row>
    <row r="24">
      <c r="B24" s="221" t="inlineStr">
        <is>
          <t>ВСЕГО СМР с НР и СП</t>
        </is>
      </c>
      <c r="C24" s="222">
        <f>C19+C20+C22</f>
        <v/>
      </c>
      <c r="D24" s="223">
        <f>C24/$C$24</f>
        <v/>
      </c>
      <c r="E24" s="223">
        <f>C24/$C$40</f>
        <v/>
      </c>
    </row>
    <row r="25" ht="25.5" customHeight="1" s="298">
      <c r="B25" s="221" t="inlineStr">
        <is>
          <t>ВСЕГО стоимость оборудования, в том числе</t>
        </is>
      </c>
      <c r="C25" s="222">
        <f>'Прил.5 Расчет СМР и ОБ'!J29</f>
        <v/>
      </c>
      <c r="D25" s="223" t="n"/>
      <c r="E25" s="223">
        <f>C25/$C$40</f>
        <v/>
      </c>
    </row>
    <row r="26" ht="25.5" customHeight="1" s="298">
      <c r="B26" s="221" t="inlineStr">
        <is>
          <t>стоимость оборудования технологического</t>
        </is>
      </c>
      <c r="C26" s="222">
        <f>'Прил.5 Расчет СМР и ОБ'!J30</f>
        <v/>
      </c>
      <c r="D26" s="223" t="n"/>
      <c r="E26" s="223">
        <f>C26/$C$40</f>
        <v/>
      </c>
    </row>
    <row r="27">
      <c r="B27" s="221" t="inlineStr">
        <is>
          <t>ИТОГО (СМР + ОБОРУДОВАНИЕ)</t>
        </is>
      </c>
      <c r="C27" s="225">
        <f>C24+C25</f>
        <v/>
      </c>
      <c r="D27" s="223" t="n"/>
      <c r="E27" s="223">
        <f>C27/$C$40</f>
        <v/>
      </c>
    </row>
    <row r="28" ht="33" customHeight="1" s="298">
      <c r="B28" s="221" t="inlineStr">
        <is>
          <t>ПРОЧ. ЗАТР., УЧТЕННЫЕ ПОКАЗАТЕЛЕМ,  в том числе</t>
        </is>
      </c>
      <c r="C28" s="221" t="n"/>
      <c r="D28" s="221" t="n"/>
      <c r="E28" s="221" t="n"/>
      <c r="F28" s="224" t="n"/>
    </row>
    <row r="29" ht="25.5" customHeight="1" s="298">
      <c r="B29" s="221" t="inlineStr">
        <is>
          <t>Временные здания и сооружения - 2,5%</t>
        </is>
      </c>
      <c r="C29" s="225">
        <f>ROUND(C24*2.5%,2)</f>
        <v/>
      </c>
      <c r="D29" s="221" t="n"/>
      <c r="E29" s="223">
        <f>C29/$C$40</f>
        <v/>
      </c>
    </row>
    <row r="30" ht="38.25" customHeight="1" s="298">
      <c r="B30" s="221" t="inlineStr">
        <is>
          <t>Дополнительные затраты при производстве строительно-монтажных работ в зимнее время - 2,1%</t>
        </is>
      </c>
      <c r="C30" s="225">
        <f>ROUND((C24+C29)*2.1%,2)</f>
        <v/>
      </c>
      <c r="D30" s="221" t="n"/>
      <c r="E30" s="223">
        <f>C30/$C$40</f>
        <v/>
      </c>
      <c r="F30" s="224" t="n"/>
    </row>
    <row r="31">
      <c r="B31" s="221" t="inlineStr">
        <is>
          <t>Пусконаладочные работы</t>
        </is>
      </c>
      <c r="C31" s="244" t="n">
        <v>0</v>
      </c>
      <c r="D31" s="221" t="n"/>
      <c r="E31" s="223">
        <f>C31/$C$40</f>
        <v/>
      </c>
    </row>
    <row r="32" ht="25.5" customHeight="1" s="298">
      <c r="B32" s="221" t="inlineStr">
        <is>
          <t>Затраты по перевозке работников к месту работы и обратно</t>
        </is>
      </c>
      <c r="C32" s="225">
        <f>ROUND(C27*0%,2)</f>
        <v/>
      </c>
      <c r="D32" s="221" t="n"/>
      <c r="E32" s="223">
        <f>C32/$C$40</f>
        <v/>
      </c>
    </row>
    <row r="33" ht="25.5" customHeight="1" s="298">
      <c r="B33" s="221" t="inlineStr">
        <is>
          <t>Затраты, связанные с осуществлением работ вахтовым методом</t>
        </is>
      </c>
      <c r="C33" s="225">
        <f>ROUND(C28*0%,2)</f>
        <v/>
      </c>
      <c r="D33" s="221" t="n"/>
      <c r="E33" s="223">
        <f>C33/$C$40</f>
        <v/>
      </c>
    </row>
    <row r="34" ht="51" customHeight="1" s="298">
      <c r="B34" s="22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5">
        <f>ROUND(C29*0%,2)</f>
        <v/>
      </c>
      <c r="D34" s="221" t="n"/>
      <c r="E34" s="223">
        <f>C34/$C$40</f>
        <v/>
      </c>
      <c r="H34" s="236" t="n"/>
    </row>
    <row r="35" ht="76.5" customHeight="1" s="298">
      <c r="B35" s="22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5">
        <f>ROUND(C30*0%,2)</f>
        <v/>
      </c>
      <c r="D35" s="221" t="n"/>
      <c r="E35" s="223">
        <f>C35/$C$40</f>
        <v/>
      </c>
    </row>
    <row r="36" ht="25.5" customHeight="1" s="298">
      <c r="B36" s="221" t="inlineStr">
        <is>
          <t>Строительный контроль и содержание службы заказчика - 2,14%</t>
        </is>
      </c>
      <c r="C36" s="225">
        <f>ROUND((C27+C32+C33+C34+C35+C29+C31+C30)*2.14%,2)</f>
        <v/>
      </c>
      <c r="D36" s="221" t="n"/>
      <c r="E36" s="223">
        <f>C36/$C$40</f>
        <v/>
      </c>
      <c r="G36" s="232" t="n"/>
      <c r="L36" s="224" t="n"/>
    </row>
    <row r="37">
      <c r="B37" s="221" t="inlineStr">
        <is>
          <t>Авторский надзор - 0,2%</t>
        </is>
      </c>
      <c r="C37" s="225">
        <f>ROUND((C27+C32+C33+C34+C35+C29+C31+C30)*0.2%,2)</f>
        <v/>
      </c>
      <c r="D37" s="221" t="n"/>
      <c r="E37" s="223">
        <f>C37/$C$40</f>
        <v/>
      </c>
      <c r="G37" s="169" t="n"/>
      <c r="L37" s="224" t="n"/>
    </row>
    <row r="38" ht="38.25" customHeight="1" s="298">
      <c r="B38" s="221" t="inlineStr">
        <is>
          <t>ИТОГО (СМР+ОБОРУДОВАНИЕ+ПРОЧ. ЗАТР., УЧТЕННЫЕ ПОКАЗАТЕЛЕМ)</t>
        </is>
      </c>
      <c r="C38" s="222">
        <f>C27+C32+C33+C34+C35+C29+C31+C30+C36+C37</f>
        <v/>
      </c>
      <c r="D38" s="221" t="n"/>
      <c r="E38" s="223">
        <f>C38/$C$40</f>
        <v/>
      </c>
    </row>
    <row r="39" ht="13.5" customHeight="1" s="298">
      <c r="B39" s="221" t="inlineStr">
        <is>
          <t>Непредвиденные расходы</t>
        </is>
      </c>
      <c r="C39" s="222">
        <f>ROUND(C38*3%,2)</f>
        <v/>
      </c>
      <c r="D39" s="221" t="n"/>
      <c r="E39" s="223">
        <f>C39/$C$38</f>
        <v/>
      </c>
    </row>
    <row r="40">
      <c r="B40" s="221" t="inlineStr">
        <is>
          <t>ВСЕГО:</t>
        </is>
      </c>
      <c r="C40" s="222">
        <f>C39+C38</f>
        <v/>
      </c>
      <c r="D40" s="221" t="n"/>
      <c r="E40" s="223">
        <f>C40/$C$40</f>
        <v/>
      </c>
    </row>
    <row r="41">
      <c r="B41" s="221" t="inlineStr">
        <is>
          <t>ИТОГО ПОКАЗАТЕЛЬ НА ЕД. ИЗМ.</t>
        </is>
      </c>
      <c r="C41" s="222">
        <f>C40/'Прил.5 Расчет СМР и ОБ'!E46</f>
        <v/>
      </c>
      <c r="D41" s="221" t="n"/>
      <c r="E41" s="221" t="n"/>
    </row>
    <row r="42">
      <c r="B42" s="220" t="n"/>
      <c r="C42" s="272" t="n"/>
      <c r="D42" s="272" t="n"/>
      <c r="E42" s="272" t="n"/>
    </row>
    <row r="43">
      <c r="B43" s="220" t="inlineStr">
        <is>
          <t>Составил ____________________________ А.Р. Маркова</t>
        </is>
      </c>
      <c r="C43" s="272" t="n"/>
      <c r="D43" s="272" t="n"/>
      <c r="E43" s="272" t="n"/>
    </row>
    <row r="44">
      <c r="B44" s="220" t="inlineStr">
        <is>
          <t xml:space="preserve">(должность, подпись, инициалы, фамилия) </t>
        </is>
      </c>
      <c r="C44" s="272" t="n"/>
      <c r="D44" s="272" t="n"/>
      <c r="E44" s="272" t="n"/>
    </row>
    <row r="45">
      <c r="B45" s="220" t="n"/>
      <c r="C45" s="272" t="n"/>
      <c r="D45" s="272" t="n"/>
      <c r="E45" s="272" t="n"/>
    </row>
    <row r="46">
      <c r="B46" s="220" t="inlineStr">
        <is>
          <t>Проверил ____________________________ А.В. Костянецкая</t>
        </is>
      </c>
      <c r="C46" s="272" t="n"/>
      <c r="D46" s="272" t="n"/>
      <c r="E46" s="272" t="n"/>
    </row>
    <row r="47">
      <c r="B47" s="326" t="inlineStr">
        <is>
          <t>(должность, подпись, инициалы, фамилия)</t>
        </is>
      </c>
      <c r="D47" s="272" t="n"/>
      <c r="E47" s="272" t="n"/>
    </row>
    <row r="49">
      <c r="B49" s="272" t="n"/>
      <c r="C49" s="272" t="n"/>
      <c r="D49" s="272" t="n"/>
      <c r="E49" s="272" t="n"/>
    </row>
    <row r="50">
      <c r="B50" s="272" t="n"/>
      <c r="C50" s="272" t="n"/>
      <c r="D50" s="272" t="n"/>
      <c r="E50" s="27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22" zoomScale="85" workbookViewId="0">
      <selection activeCell="B47" sqref="B47"/>
    </sheetView>
  </sheetViews>
  <sheetFormatPr baseColWidth="8" defaultColWidth="9.109375" defaultRowHeight="14.4" outlineLevelRow="1"/>
  <cols>
    <col width="5.6640625" customWidth="1" style="273" min="1" max="1"/>
    <col width="22.5546875" customWidth="1" style="273" min="2" max="2"/>
    <col width="39.109375" customWidth="1" style="273" min="3" max="3"/>
    <col width="10.6640625" customWidth="1" style="273" min="4" max="4"/>
    <col width="12.6640625" customWidth="1" style="273" min="5" max="5"/>
    <col width="15" customWidth="1" style="273" min="6" max="6"/>
    <col width="13.44140625" customWidth="1" style="273" min="7" max="7"/>
    <col width="12.6640625" customWidth="1" style="273" min="8" max="8"/>
    <col width="13.88671875" customWidth="1" style="273" min="9" max="9"/>
    <col width="17.5546875" customWidth="1" style="273" min="10" max="10"/>
    <col width="10.88671875" customWidth="1" style="273" min="11" max="11"/>
    <col width="9.109375" customWidth="1" style="273" min="12" max="12"/>
    <col width="9.109375" customWidth="1" style="298" min="13" max="13"/>
  </cols>
  <sheetData>
    <row r="1" s="298">
      <c r="A1" s="273" t="n"/>
      <c r="B1" s="273" t="n"/>
      <c r="C1" s="273" t="n"/>
      <c r="D1" s="273" t="n"/>
      <c r="E1" s="273" t="n"/>
      <c r="F1" s="273" t="n"/>
      <c r="G1" s="273" t="n"/>
      <c r="H1" s="273" t="n"/>
      <c r="I1" s="273" t="n"/>
      <c r="J1" s="273" t="n"/>
      <c r="K1" s="273" t="n"/>
      <c r="L1" s="273" t="n"/>
      <c r="M1" s="273" t="n"/>
      <c r="N1" s="273" t="n"/>
    </row>
    <row r="2" ht="15.75" customHeight="1" s="298">
      <c r="A2" s="273" t="n"/>
      <c r="B2" s="273" t="n"/>
      <c r="C2" s="273" t="n"/>
      <c r="D2" s="273" t="n"/>
      <c r="E2" s="273" t="n"/>
      <c r="F2" s="273" t="n"/>
      <c r="G2" s="273" t="n"/>
      <c r="H2" s="327" t="inlineStr">
        <is>
          <t>Приложение №5</t>
        </is>
      </c>
      <c r="K2" s="273" t="n"/>
      <c r="L2" s="273" t="n"/>
      <c r="M2" s="273" t="n"/>
      <c r="N2" s="273" t="n"/>
    </row>
    <row r="3" s="298">
      <c r="A3" s="273" t="n"/>
      <c r="B3" s="273" t="n"/>
      <c r="C3" s="273" t="n"/>
      <c r="D3" s="273" t="n"/>
      <c r="E3" s="273" t="n"/>
      <c r="F3" s="273" t="n"/>
      <c r="G3" s="273" t="n"/>
      <c r="H3" s="273" t="n"/>
      <c r="I3" s="273" t="n"/>
      <c r="J3" s="273" t="n"/>
      <c r="K3" s="273" t="n"/>
      <c r="L3" s="273" t="n"/>
      <c r="M3" s="273" t="n"/>
      <c r="N3" s="273" t="n"/>
    </row>
    <row r="4" ht="12.75" customFormat="1" customHeight="1" s="272">
      <c r="A4" s="303" t="inlineStr">
        <is>
          <t>Расчет стоимости СМР и оборудования</t>
        </is>
      </c>
    </row>
    <row r="5" ht="12.75" customFormat="1" customHeight="1" s="272">
      <c r="A5" s="303" t="n"/>
      <c r="B5" s="303" t="n"/>
      <c r="C5" s="354" t="n"/>
      <c r="D5" s="303" t="n"/>
      <c r="E5" s="303" t="n"/>
      <c r="F5" s="303" t="n"/>
      <c r="G5" s="303" t="n"/>
      <c r="H5" s="303" t="n"/>
      <c r="I5" s="303" t="n"/>
      <c r="J5" s="303" t="n"/>
    </row>
    <row r="6" ht="12.75" customFormat="1" customHeight="1" s="272">
      <c r="A6" s="200" t="inlineStr">
        <is>
          <t>Наименование разрабатываемого показателя УНЦ</t>
        </is>
      </c>
      <c r="B6" s="199" t="n"/>
      <c r="C6" s="199" t="n"/>
      <c r="D6" s="333" t="inlineStr">
        <is>
          <t>Муфта соединительная 6 кВ сечением 50 мм2.</t>
        </is>
      </c>
    </row>
    <row r="7" ht="12.75" customFormat="1" customHeight="1" s="272">
      <c r="A7" s="306" t="inlineStr">
        <is>
          <t>Единица измерения  — 1 ед</t>
        </is>
      </c>
      <c r="I7" s="312" t="n"/>
      <c r="J7" s="312" t="n"/>
    </row>
    <row r="8" ht="13.5" customFormat="1" customHeight="1" s="272">
      <c r="A8" s="306" t="n"/>
    </row>
    <row r="9" ht="13.2" customFormat="1" customHeight="1" s="272"/>
    <row r="10" ht="27" customHeight="1" s="298">
      <c r="A10" s="330" t="inlineStr">
        <is>
          <t>№ пп.</t>
        </is>
      </c>
      <c r="B10" s="330" t="inlineStr">
        <is>
          <t>Код ресурса</t>
        </is>
      </c>
      <c r="C10" s="330" t="inlineStr">
        <is>
          <t>Наименование</t>
        </is>
      </c>
      <c r="D10" s="330" t="inlineStr">
        <is>
          <t>Ед. изм.</t>
        </is>
      </c>
      <c r="E10" s="330" t="inlineStr">
        <is>
          <t>Кол-во единиц по проектным данным</t>
        </is>
      </c>
      <c r="F10" s="330" t="inlineStr">
        <is>
          <t>Сметная стоимость в ценах на 01.01.2000 (руб.)</t>
        </is>
      </c>
      <c r="G10" s="411" t="n"/>
      <c r="H10" s="330" t="inlineStr">
        <is>
          <t>Удельный вес, %</t>
        </is>
      </c>
      <c r="I10" s="330" t="inlineStr">
        <is>
          <t>Сметная стоимость в ценах на 01.01.2023 (руб.)</t>
        </is>
      </c>
      <c r="J10" s="411" t="n"/>
      <c r="K10" s="273" t="n"/>
      <c r="L10" s="273" t="n"/>
      <c r="M10" s="273" t="n"/>
      <c r="N10" s="273" t="n"/>
    </row>
    <row r="11" ht="28.5" customHeight="1" s="298">
      <c r="A11" s="413" t="n"/>
      <c r="B11" s="413" t="n"/>
      <c r="C11" s="413" t="n"/>
      <c r="D11" s="413" t="n"/>
      <c r="E11" s="413" t="n"/>
      <c r="F11" s="330" t="inlineStr">
        <is>
          <t>на ед. изм.</t>
        </is>
      </c>
      <c r="G11" s="330" t="inlineStr">
        <is>
          <t>общая</t>
        </is>
      </c>
      <c r="H11" s="413" t="n"/>
      <c r="I11" s="330" t="inlineStr">
        <is>
          <t>на ед. изм.</t>
        </is>
      </c>
      <c r="J11" s="330" t="inlineStr">
        <is>
          <t>общая</t>
        </is>
      </c>
      <c r="K11" s="273" t="n"/>
      <c r="L11" s="273" t="n"/>
      <c r="M11" s="273" t="n"/>
      <c r="N11" s="273" t="n"/>
    </row>
    <row r="12" s="298">
      <c r="A12" s="330" t="n">
        <v>1</v>
      </c>
      <c r="B12" s="330" t="n">
        <v>2</v>
      </c>
      <c r="C12" s="330" t="n">
        <v>3</v>
      </c>
      <c r="D12" s="330" t="n">
        <v>4</v>
      </c>
      <c r="E12" s="330" t="n">
        <v>5</v>
      </c>
      <c r="F12" s="330" t="n">
        <v>6</v>
      </c>
      <c r="G12" s="330" t="n">
        <v>7</v>
      </c>
      <c r="H12" s="330" t="n">
        <v>8</v>
      </c>
      <c r="I12" s="331" t="n">
        <v>9</v>
      </c>
      <c r="J12" s="331" t="n">
        <v>10</v>
      </c>
      <c r="K12" s="273" t="n"/>
      <c r="L12" s="273" t="n"/>
      <c r="M12" s="273" t="n"/>
      <c r="N12" s="273" t="n"/>
    </row>
    <row r="13">
      <c r="A13" s="330" t="n"/>
      <c r="B13" s="320" t="inlineStr">
        <is>
          <t>Затраты труда рабочих-строителей</t>
        </is>
      </c>
      <c r="C13" s="410" t="n"/>
      <c r="D13" s="410" t="n"/>
      <c r="E13" s="410" t="n"/>
      <c r="F13" s="410" t="n"/>
      <c r="G13" s="410" t="n"/>
      <c r="H13" s="411" t="n"/>
      <c r="I13" s="279" t="n"/>
      <c r="J13" s="279" t="n"/>
    </row>
    <row r="14" ht="25.5" customHeight="1" s="298">
      <c r="A14" s="330" t="n">
        <v>1</v>
      </c>
      <c r="B14" s="243" t="inlineStr">
        <is>
          <t>1-3-8</t>
        </is>
      </c>
      <c r="C14" s="338" t="inlineStr">
        <is>
          <t>Затраты труда рабочих-строителей среднего разряда (3,8)</t>
        </is>
      </c>
      <c r="D14" s="330" t="inlineStr">
        <is>
          <t>чел.-ч.</t>
        </is>
      </c>
      <c r="E14" s="420">
        <f>G14/F14</f>
        <v/>
      </c>
      <c r="F14" s="196" t="n">
        <v>9.4</v>
      </c>
      <c r="G14" s="196">
        <f>'Прил. 3'!H11</f>
        <v/>
      </c>
      <c r="H14" s="198">
        <f>G14/G15</f>
        <v/>
      </c>
      <c r="I14" s="196">
        <f>ФОТр.тек.!E13</f>
        <v/>
      </c>
      <c r="J14" s="196">
        <f>ROUND(I14*E14,2)</f>
        <v/>
      </c>
    </row>
    <row r="15" ht="25.5" customFormat="1" customHeight="1" s="273">
      <c r="A15" s="330" t="n"/>
      <c r="B15" s="330" t="n"/>
      <c r="C15" s="320" t="inlineStr">
        <is>
          <t>Итого по разделу "Затраты труда рабочих-строителей"</t>
        </is>
      </c>
      <c r="D15" s="330" t="inlineStr">
        <is>
          <t>чел.-ч.</t>
        </is>
      </c>
      <c r="E15" s="420">
        <f>SUM(E14:E14)</f>
        <v/>
      </c>
      <c r="F15" s="196" t="n"/>
      <c r="G15" s="196">
        <f>SUM(G14:G14)</f>
        <v/>
      </c>
      <c r="H15" s="341" t="n">
        <v>1</v>
      </c>
      <c r="I15" s="279" t="n"/>
      <c r="J15" s="196">
        <f>SUM(J14:J14)</f>
        <v/>
      </c>
    </row>
    <row r="16" ht="14.25" customFormat="1" customHeight="1" s="273">
      <c r="A16" s="330" t="n"/>
      <c r="B16" s="338" t="inlineStr">
        <is>
          <t>Затраты труда машинистов</t>
        </is>
      </c>
      <c r="C16" s="410" t="n"/>
      <c r="D16" s="410" t="n"/>
      <c r="E16" s="410" t="n"/>
      <c r="F16" s="410" t="n"/>
      <c r="G16" s="410" t="n"/>
      <c r="H16" s="411" t="n"/>
      <c r="I16" s="279" t="n"/>
      <c r="J16" s="279" t="n"/>
    </row>
    <row r="17" ht="14.25" customFormat="1" customHeight="1" s="273">
      <c r="A17" s="330" t="n">
        <v>2</v>
      </c>
      <c r="B17" s="330" t="n">
        <v>2</v>
      </c>
      <c r="C17" s="338" t="inlineStr">
        <is>
          <t>Затраты труда машинистов</t>
        </is>
      </c>
      <c r="D17" s="330" t="inlineStr">
        <is>
          <t>чел.-ч.</t>
        </is>
      </c>
      <c r="E17" s="420" t="n">
        <v>0.06</v>
      </c>
      <c r="F17" s="196">
        <f>G17/E17</f>
        <v/>
      </c>
      <c r="G17" s="196">
        <f>'Прил. 3'!H13</f>
        <v/>
      </c>
      <c r="H17" s="341" t="n">
        <v>1</v>
      </c>
      <c r="I17" s="196">
        <f>ROUND(F17*'Прил. 10'!D11,2)</f>
        <v/>
      </c>
      <c r="J17" s="196">
        <f>ROUND(I17*E17,2)</f>
        <v/>
      </c>
    </row>
    <row r="18" ht="14.25" customFormat="1" customHeight="1" s="273">
      <c r="A18" s="330" t="n"/>
      <c r="B18" s="320" t="inlineStr">
        <is>
          <t>Машины и механизмы</t>
        </is>
      </c>
      <c r="C18" s="410" t="n"/>
      <c r="D18" s="410" t="n"/>
      <c r="E18" s="410" t="n"/>
      <c r="F18" s="410" t="n"/>
      <c r="G18" s="410" t="n"/>
      <c r="H18" s="411" t="n"/>
      <c r="I18" s="279" t="n"/>
      <c r="J18" s="279" t="n"/>
    </row>
    <row r="19" ht="14.25" customFormat="1" customHeight="1" s="273">
      <c r="A19" s="330" t="n"/>
      <c r="B19" s="338" t="inlineStr">
        <is>
          <t>Основные машины и механизмы</t>
        </is>
      </c>
      <c r="C19" s="410" t="n"/>
      <c r="D19" s="410" t="n"/>
      <c r="E19" s="410" t="n"/>
      <c r="F19" s="410" t="n"/>
      <c r="G19" s="410" t="n"/>
      <c r="H19" s="411" t="n"/>
      <c r="I19" s="279" t="n"/>
      <c r="J19" s="279" t="n"/>
    </row>
    <row r="20" ht="25.5" customFormat="1" customHeight="1" s="273">
      <c r="A20" s="330" t="n">
        <v>3</v>
      </c>
      <c r="B20" s="243" t="inlineStr">
        <is>
          <t>91.05.05-015</t>
        </is>
      </c>
      <c r="C20" s="338" t="inlineStr">
        <is>
          <t>Краны на автомобильном ходу, грузоподъемность 16 т</t>
        </is>
      </c>
      <c r="D20" s="330" t="inlineStr">
        <is>
          <t>маш.час</t>
        </is>
      </c>
      <c r="E20" s="421" t="n">
        <v>0.03</v>
      </c>
      <c r="F20" s="340" t="n">
        <v>115.4</v>
      </c>
      <c r="G20" s="196">
        <f>ROUND(E20*F20,2)</f>
        <v/>
      </c>
      <c r="H20" s="198">
        <f>G20/$G$24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273">
      <c r="A21" s="330" t="n">
        <v>4</v>
      </c>
      <c r="B21" s="243" t="inlineStr">
        <is>
          <t>91.14.02-001</t>
        </is>
      </c>
      <c r="C21" s="338" t="inlineStr">
        <is>
          <t>Автомобили бортовые, грузоподъемность: до 5 т</t>
        </is>
      </c>
      <c r="D21" s="330" t="inlineStr">
        <is>
          <t>маш.час</t>
        </is>
      </c>
      <c r="E21" s="421" t="n">
        <v>0.03</v>
      </c>
      <c r="F21" s="340" t="n">
        <v>65.70999999999999</v>
      </c>
      <c r="G21" s="196">
        <f>ROUND(E21*F21,2)</f>
        <v/>
      </c>
      <c r="H21" s="198">
        <f>G21/$G$24</f>
        <v/>
      </c>
      <c r="I21" s="196">
        <f>ROUND(F21*'Прил. 10'!$D$12,2)</f>
        <v/>
      </c>
      <c r="J21" s="196">
        <f>ROUND(I21*E21,2)</f>
        <v/>
      </c>
    </row>
    <row r="22" ht="14.25" customFormat="1" customHeight="1" s="273">
      <c r="A22" s="330" t="n"/>
      <c r="B22" s="330" t="n"/>
      <c r="C22" s="338" t="inlineStr">
        <is>
          <t>Итого основные машины и механизмы</t>
        </is>
      </c>
      <c r="D22" s="330" t="n"/>
      <c r="E22" s="420" t="n"/>
      <c r="F22" s="196" t="n"/>
      <c r="G22" s="196">
        <f>SUM(G20:G21)</f>
        <v/>
      </c>
      <c r="H22" s="341">
        <f>G22/G24</f>
        <v/>
      </c>
      <c r="I22" s="193" t="n"/>
      <c r="J22" s="196">
        <f>SUM(J20:J21)</f>
        <v/>
      </c>
    </row>
    <row r="23" ht="14.25" customFormat="1" customHeight="1" s="273">
      <c r="A23" s="330" t="n"/>
      <c r="B23" s="330" t="n"/>
      <c r="C23" s="338" t="inlineStr">
        <is>
          <t>Итого прочие машины и механизмы</t>
        </is>
      </c>
      <c r="D23" s="330" t="n"/>
      <c r="E23" s="339" t="n"/>
      <c r="F23" s="196" t="n"/>
      <c r="G23" s="193" t="n">
        <v>0</v>
      </c>
      <c r="H23" s="198">
        <f>G23/G24</f>
        <v/>
      </c>
      <c r="I23" s="196" t="n"/>
      <c r="J23" s="196" t="n">
        <v>0</v>
      </c>
    </row>
    <row r="24" ht="25.5" customFormat="1" customHeight="1" s="273">
      <c r="A24" s="330" t="n"/>
      <c r="B24" s="330" t="n"/>
      <c r="C24" s="320" t="inlineStr">
        <is>
          <t>Итого по разделу «Машины и механизмы»</t>
        </is>
      </c>
      <c r="D24" s="330" t="n"/>
      <c r="E24" s="339" t="n"/>
      <c r="F24" s="196" t="n"/>
      <c r="G24" s="196">
        <f>G23+G22</f>
        <v/>
      </c>
      <c r="H24" s="189" t="n">
        <v>1</v>
      </c>
      <c r="I24" s="190" t="n"/>
      <c r="J24" s="203">
        <f>J23+J22</f>
        <v/>
      </c>
    </row>
    <row r="25" ht="14.25" customFormat="1" customHeight="1" s="273">
      <c r="A25" s="330" t="n"/>
      <c r="B25" s="320" t="inlineStr">
        <is>
          <t>Оборудование</t>
        </is>
      </c>
      <c r="C25" s="410" t="n"/>
      <c r="D25" s="410" t="n"/>
      <c r="E25" s="410" t="n"/>
      <c r="F25" s="410" t="n"/>
      <c r="G25" s="410" t="n"/>
      <c r="H25" s="411" t="n"/>
      <c r="I25" s="279" t="n"/>
      <c r="J25" s="279" t="n"/>
    </row>
    <row r="26">
      <c r="A26" s="330" t="n"/>
      <c r="B26" s="338" t="inlineStr">
        <is>
          <t>Основное оборудование</t>
        </is>
      </c>
      <c r="C26" s="410" t="n"/>
      <c r="D26" s="410" t="n"/>
      <c r="E26" s="410" t="n"/>
      <c r="F26" s="410" t="n"/>
      <c r="G26" s="410" t="n"/>
      <c r="H26" s="411" t="n"/>
      <c r="I26" s="279" t="n"/>
      <c r="J26" s="279" t="n"/>
      <c r="K26" s="273" t="n"/>
      <c r="L26" s="273" t="n"/>
    </row>
    <row r="27">
      <c r="A27" s="330" t="n"/>
      <c r="B27" s="330" t="n"/>
      <c r="C27" s="338" t="inlineStr">
        <is>
          <t>Итого основное оборудование</t>
        </is>
      </c>
      <c r="D27" s="330" t="n"/>
      <c r="E27" s="421" t="n"/>
      <c r="F27" s="340" t="n"/>
      <c r="G27" s="196" t="n">
        <v>0</v>
      </c>
      <c r="H27" s="198" t="n">
        <v>0</v>
      </c>
      <c r="I27" s="193" t="n"/>
      <c r="J27" s="196" t="n">
        <v>0</v>
      </c>
      <c r="K27" s="273" t="n"/>
      <c r="L27" s="273" t="n"/>
    </row>
    <row r="28">
      <c r="A28" s="330" t="n"/>
      <c r="B28" s="330" t="n"/>
      <c r="C28" s="338" t="inlineStr">
        <is>
          <t>Итого прочее оборудование</t>
        </is>
      </c>
      <c r="D28" s="330" t="n"/>
      <c r="E28" s="420" t="n"/>
      <c r="F28" s="340" t="n"/>
      <c r="G28" s="196" t="n">
        <v>0</v>
      </c>
      <c r="H28" s="198" t="n">
        <v>0</v>
      </c>
      <c r="I28" s="193" t="n"/>
      <c r="J28" s="196" t="n">
        <v>0</v>
      </c>
      <c r="K28" s="273" t="n"/>
      <c r="L28" s="273" t="n"/>
    </row>
    <row r="29">
      <c r="A29" s="330" t="n"/>
      <c r="B29" s="330" t="n"/>
      <c r="C29" s="320" t="inlineStr">
        <is>
          <t>Итого по разделу «Оборудование»</t>
        </is>
      </c>
      <c r="D29" s="330" t="n"/>
      <c r="E29" s="339" t="n"/>
      <c r="F29" s="340" t="n"/>
      <c r="G29" s="196">
        <f>G27+G28</f>
        <v/>
      </c>
      <c r="H29" s="198" t="n">
        <v>0</v>
      </c>
      <c r="I29" s="193" t="n"/>
      <c r="J29" s="196">
        <f>J28+J27</f>
        <v/>
      </c>
      <c r="K29" s="273" t="n"/>
      <c r="L29" s="273" t="n"/>
    </row>
    <row r="30" ht="25.5" customHeight="1" s="298">
      <c r="A30" s="330" t="n"/>
      <c r="B30" s="330" t="n"/>
      <c r="C30" s="338" t="inlineStr">
        <is>
          <t>в том числе технологическое оборудование</t>
        </is>
      </c>
      <c r="D30" s="330" t="n"/>
      <c r="E30" s="421" t="n"/>
      <c r="F30" s="340" t="n"/>
      <c r="G30" s="196">
        <f>'Прил.6 Расчет ОБ'!G12</f>
        <v/>
      </c>
      <c r="H30" s="341" t="n"/>
      <c r="I30" s="193" t="n"/>
      <c r="J30" s="196">
        <f>J29</f>
        <v/>
      </c>
      <c r="K30" s="273" t="n"/>
      <c r="L30" s="273" t="n"/>
    </row>
    <row r="31" ht="14.25" customFormat="1" customHeight="1" s="273">
      <c r="A31" s="330" t="n"/>
      <c r="B31" s="320" t="inlineStr">
        <is>
          <t>Материалы</t>
        </is>
      </c>
      <c r="C31" s="410" t="n"/>
      <c r="D31" s="410" t="n"/>
      <c r="E31" s="410" t="n"/>
      <c r="F31" s="410" t="n"/>
      <c r="G31" s="410" t="n"/>
      <c r="H31" s="411" t="n"/>
      <c r="I31" s="279" t="n"/>
      <c r="J31" s="279" t="n"/>
    </row>
    <row r="32" ht="14.25" customFormat="1" customHeight="1" s="273">
      <c r="A32" s="331" t="n"/>
      <c r="B32" s="334" t="inlineStr">
        <is>
          <t>Основные материалы</t>
        </is>
      </c>
      <c r="C32" s="422" t="n"/>
      <c r="D32" s="422" t="n"/>
      <c r="E32" s="422" t="n"/>
      <c r="F32" s="422" t="n"/>
      <c r="G32" s="422" t="n"/>
      <c r="H32" s="423" t="n"/>
      <c r="I32" s="280" t="n"/>
      <c r="J32" s="280" t="n"/>
    </row>
    <row r="33" ht="25.5" customFormat="1" customHeight="1" s="273">
      <c r="A33" s="330" t="n">
        <v>5</v>
      </c>
      <c r="B33" s="252" t="inlineStr">
        <is>
          <t>БЦ.91.127</t>
        </is>
      </c>
      <c r="C33" s="338" t="inlineStr">
        <is>
          <t>Муфта соединительная 6 кВ сечением 50 мм2</t>
        </is>
      </c>
      <c r="D33" s="330" t="inlineStr">
        <is>
          <t>шт</t>
        </is>
      </c>
      <c r="E33" s="421" t="n">
        <v>6</v>
      </c>
      <c r="F33" s="340">
        <f>ROUND(I33/'Прил. 10'!$D$13,2)</f>
        <v/>
      </c>
      <c r="G33" s="196">
        <f>ROUND(E33*F33,2)</f>
        <v/>
      </c>
      <c r="H33" s="198">
        <f>G33/$G$40</f>
        <v/>
      </c>
      <c r="I33" s="196" t="n">
        <v>1692.37</v>
      </c>
      <c r="J33" s="196">
        <f>ROUND(I33*E33,2)</f>
        <v/>
      </c>
    </row>
    <row r="34" ht="14.25" customFormat="1" customHeight="1" s="273">
      <c r="A34" s="332" t="n"/>
      <c r="B34" s="202" t="n"/>
      <c r="C34" s="246" t="inlineStr">
        <is>
          <t>Итого основные материалы</t>
        </is>
      </c>
      <c r="D34" s="332" t="n"/>
      <c r="E34" s="424" t="n"/>
      <c r="F34" s="203" t="n"/>
      <c r="G34" s="203">
        <f>SUM(G33:G33)</f>
        <v/>
      </c>
      <c r="H34" s="198">
        <f>G34/$G$40</f>
        <v/>
      </c>
      <c r="I34" s="196" t="n"/>
      <c r="J34" s="203">
        <f>SUM(J33:J33)</f>
        <v/>
      </c>
    </row>
    <row r="35" outlineLevel="1" ht="14.25" customFormat="1" customHeight="1" s="273">
      <c r="A35" s="330" t="n">
        <v>6</v>
      </c>
      <c r="B35" s="243" t="inlineStr">
        <is>
          <t>20.2.01.05-0007</t>
        </is>
      </c>
      <c r="C35" s="338" t="inlineStr">
        <is>
          <t>Гильза кабельная: медная ГМ 35</t>
        </is>
      </c>
      <c r="D35" s="330" t="inlineStr">
        <is>
          <t>100 шт</t>
        </is>
      </c>
      <c r="E35" s="421" t="n">
        <v>0.093</v>
      </c>
      <c r="F35" s="340" t="n">
        <v>378</v>
      </c>
      <c r="G35" s="196">
        <f>ROUND(E35*F35,2)</f>
        <v/>
      </c>
      <c r="H35" s="198">
        <f>G35/$G$40</f>
        <v/>
      </c>
      <c r="I35" s="196">
        <f>ROUND(F35*'Прил. 10'!$D$13,2)</f>
        <v/>
      </c>
      <c r="J35" s="196">
        <f>ROUND(I35*E35,2)</f>
        <v/>
      </c>
    </row>
    <row r="36" outlineLevel="1" ht="14.25" customFormat="1" customHeight="1" s="273">
      <c r="A36" s="330" t="n">
        <v>7</v>
      </c>
      <c r="B36" s="243" t="inlineStr">
        <is>
          <t>01.3.01.01-0001</t>
        </is>
      </c>
      <c r="C36" s="338" t="inlineStr">
        <is>
          <t>Бензин авиационный Б-70</t>
        </is>
      </c>
      <c r="D36" s="330" t="inlineStr">
        <is>
          <t>т</t>
        </is>
      </c>
      <c r="E36" s="421" t="n">
        <v>0.0024</v>
      </c>
      <c r="F36" s="340" t="n">
        <v>4488.4</v>
      </c>
      <c r="G36" s="196">
        <f>ROUND(E36*F36,2)</f>
        <v/>
      </c>
      <c r="H36" s="198">
        <f>G36/$G$40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273">
      <c r="A37" s="330" t="n">
        <v>8</v>
      </c>
      <c r="B37" s="243" t="inlineStr">
        <is>
          <t>01.7.06.07-0002</t>
        </is>
      </c>
      <c r="C37" s="338" t="inlineStr">
        <is>
          <t>Лента монтажная, тип ЛМ-5</t>
        </is>
      </c>
      <c r="D37" s="330" t="inlineStr">
        <is>
          <t>10 м</t>
        </is>
      </c>
      <c r="E37" s="421" t="n">
        <v>0.07199999999999999</v>
      </c>
      <c r="F37" s="340" t="n">
        <v>6.9</v>
      </c>
      <c r="G37" s="196">
        <f>ROUND(E37*F37,2)</f>
        <v/>
      </c>
      <c r="H37" s="198">
        <f>G37/$G$40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273">
      <c r="A38" s="330" t="n">
        <v>9</v>
      </c>
      <c r="B38" s="243" t="inlineStr">
        <is>
          <t>01.3.01.05-0009</t>
        </is>
      </c>
      <c r="C38" s="338" t="inlineStr">
        <is>
          <t>Парафины нефтяные твердые марки Т-1</t>
        </is>
      </c>
      <c r="D38" s="330" t="inlineStr">
        <is>
          <t>т</t>
        </is>
      </c>
      <c r="E38" s="421" t="n">
        <v>6e-05</v>
      </c>
      <c r="F38" s="340" t="n">
        <v>8105.71</v>
      </c>
      <c r="G38" s="196">
        <f>ROUND(E38*F38,2)</f>
        <v/>
      </c>
      <c r="H38" s="198">
        <f>G38/$G$40</f>
        <v/>
      </c>
      <c r="I38" s="196">
        <f>ROUND(F38*'Прил. 10'!$D$13,2)</f>
        <v/>
      </c>
      <c r="J38" s="196">
        <f>ROUND(I38*E38,2)</f>
        <v/>
      </c>
    </row>
    <row r="39" ht="14.25" customFormat="1" customHeight="1" s="273">
      <c r="A39" s="332" t="n"/>
      <c r="B39" s="332" t="n"/>
      <c r="C39" s="246" t="inlineStr">
        <is>
          <t>Итого прочие материалы</t>
        </is>
      </c>
      <c r="D39" s="332" t="n"/>
      <c r="E39" s="424" t="n"/>
      <c r="F39" s="247" t="n"/>
      <c r="G39" s="203">
        <f>SUM(G35:G38)</f>
        <v/>
      </c>
      <c r="H39" s="198">
        <f>G39/$G$40</f>
        <v/>
      </c>
      <c r="I39" s="196" t="n"/>
      <c r="J39" s="196">
        <f>SUM(J35:J38)</f>
        <v/>
      </c>
    </row>
    <row r="40" ht="14.25" customFormat="1" customHeight="1" s="273">
      <c r="A40" s="330" t="n"/>
      <c r="B40" s="330" t="n"/>
      <c r="C40" s="320" t="inlineStr">
        <is>
          <t>Итого по разделу «Материалы»</t>
        </is>
      </c>
      <c r="D40" s="330" t="n"/>
      <c r="E40" s="339" t="n"/>
      <c r="F40" s="340" t="n"/>
      <c r="G40" s="196">
        <f>G34+G39</f>
        <v/>
      </c>
      <c r="H40" s="341">
        <f>G40/$G$40</f>
        <v/>
      </c>
      <c r="I40" s="196" t="n"/>
      <c r="J40" s="196">
        <f>J34+J39</f>
        <v/>
      </c>
    </row>
    <row r="41" ht="14.25" customFormat="1" customHeight="1" s="273">
      <c r="A41" s="330" t="n"/>
      <c r="B41" s="330" t="n"/>
      <c r="C41" s="338" t="inlineStr">
        <is>
          <t>ИТОГО ПО РМ</t>
        </is>
      </c>
      <c r="D41" s="330" t="n"/>
      <c r="E41" s="339" t="n"/>
      <c r="F41" s="340" t="n"/>
      <c r="G41" s="196">
        <f>G15+G24+G40</f>
        <v/>
      </c>
      <c r="H41" s="341" t="n"/>
      <c r="I41" s="196" t="n"/>
      <c r="J41" s="196">
        <f>J15+J24+J40</f>
        <v/>
      </c>
    </row>
    <row r="42" ht="14.25" customFormat="1" customHeight="1" s="273">
      <c r="A42" s="330" t="n"/>
      <c r="B42" s="330" t="n"/>
      <c r="C42" s="338" t="inlineStr">
        <is>
          <t>Накладные расходы</t>
        </is>
      </c>
      <c r="D42" s="194">
        <f>ROUND(G42/(G$17+$G$15),2)</f>
        <v/>
      </c>
      <c r="E42" s="339" t="n"/>
      <c r="F42" s="340" t="n"/>
      <c r="G42" s="196" t="n">
        <v>159.96</v>
      </c>
      <c r="H42" s="341" t="n"/>
      <c r="I42" s="196" t="n"/>
      <c r="J42" s="196">
        <f>ROUND(D42*(J15+J17),2)</f>
        <v/>
      </c>
    </row>
    <row r="43" ht="14.25" customFormat="1" customHeight="1" s="273">
      <c r="A43" s="330" t="n"/>
      <c r="B43" s="330" t="n"/>
      <c r="C43" s="338" t="inlineStr">
        <is>
          <t>Сметная прибыль</t>
        </is>
      </c>
      <c r="D43" s="194">
        <f>ROUND(G43/(G$15+G$17),2)</f>
        <v/>
      </c>
      <c r="E43" s="339" t="n"/>
      <c r="F43" s="340" t="n"/>
      <c r="G43" s="196" t="n">
        <v>84.09999999999999</v>
      </c>
      <c r="H43" s="341" t="n"/>
      <c r="I43" s="196" t="n"/>
      <c r="J43" s="196">
        <f>ROUND(D43*(J15+J17),2)</f>
        <v/>
      </c>
    </row>
    <row r="44" ht="14.25" customFormat="1" customHeight="1" s="273">
      <c r="A44" s="330" t="n"/>
      <c r="B44" s="330" t="n"/>
      <c r="C44" s="338" t="inlineStr">
        <is>
          <t>Итого СМР (с НР и СП)</t>
        </is>
      </c>
      <c r="D44" s="330" t="n"/>
      <c r="E44" s="339" t="n"/>
      <c r="F44" s="340" t="n"/>
      <c r="G44" s="196">
        <f>G15+G24+G40+G42+G43</f>
        <v/>
      </c>
      <c r="H44" s="341" t="n"/>
      <c r="I44" s="196" t="n"/>
      <c r="J44" s="196">
        <f>J15+J24+J40+J42+J43</f>
        <v/>
      </c>
    </row>
    <row r="45" ht="14.25" customFormat="1" customHeight="1" s="273">
      <c r="A45" s="330" t="n"/>
      <c r="B45" s="330" t="n"/>
      <c r="C45" s="338" t="inlineStr">
        <is>
          <t>ВСЕГО СМР + ОБОРУДОВАНИЕ</t>
        </is>
      </c>
      <c r="D45" s="330" t="n"/>
      <c r="E45" s="339" t="n"/>
      <c r="F45" s="340" t="n"/>
      <c r="G45" s="196">
        <f>G44+G29</f>
        <v/>
      </c>
      <c r="H45" s="341" t="n"/>
      <c r="I45" s="196" t="n"/>
      <c r="J45" s="196">
        <f>J44+J29</f>
        <v/>
      </c>
    </row>
    <row r="46" ht="34.5" customFormat="1" customHeight="1" s="273">
      <c r="A46" s="330" t="n"/>
      <c r="B46" s="330" t="n"/>
      <c r="C46" s="338" t="inlineStr">
        <is>
          <t>ИТОГО ПОКАЗАТЕЛЬ НА ЕД. ИЗМ.</t>
        </is>
      </c>
      <c r="D46" s="330" t="inlineStr">
        <is>
          <t>1 ед</t>
        </is>
      </c>
      <c r="E46" s="421" t="n">
        <v>1</v>
      </c>
      <c r="F46" s="340" t="n"/>
      <c r="G46" s="196">
        <f>G45/E46</f>
        <v/>
      </c>
      <c r="H46" s="341" t="n"/>
      <c r="I46" s="196" t="n"/>
      <c r="J46" s="196">
        <f>J45/E46</f>
        <v/>
      </c>
    </row>
    <row r="48" ht="14.25" customFormat="1" customHeight="1" s="273">
      <c r="A48" s="272" t="inlineStr">
        <is>
          <t>Составил ______________________    А.Р. Маркова</t>
        </is>
      </c>
    </row>
    <row r="49" ht="14.25" customFormat="1" customHeight="1" s="273">
      <c r="A49" s="275" t="inlineStr">
        <is>
          <t xml:space="preserve">                         (подпись, инициалы, фамилия)</t>
        </is>
      </c>
    </row>
    <row r="50" ht="14.25" customFormat="1" customHeight="1" s="273">
      <c r="A50" s="272" t="n"/>
    </row>
    <row r="51" ht="14.25" customFormat="1" customHeight="1" s="273">
      <c r="A51" s="272" t="inlineStr">
        <is>
          <t>Проверил ______________________        А.В. Костянецкая</t>
        </is>
      </c>
    </row>
    <row r="52" ht="14.25" customFormat="1" customHeight="1" s="273">
      <c r="A52" s="27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298" min="1" max="1"/>
    <col width="17.5546875" customWidth="1" style="298" min="2" max="2"/>
    <col width="39.109375" customWidth="1" style="298" min="3" max="3"/>
    <col width="10.6640625" customWidth="1" style="298" min="4" max="4"/>
    <col width="13.88671875" customWidth="1" style="298" min="5" max="5"/>
    <col width="13.33203125" customWidth="1" style="298" min="6" max="6"/>
    <col width="14.109375" customWidth="1" style="298" min="7" max="7"/>
  </cols>
  <sheetData>
    <row r="1">
      <c r="A1" s="346" t="inlineStr">
        <is>
          <t>Приложение №6</t>
        </is>
      </c>
    </row>
    <row r="2" ht="21.75" customHeight="1" s="298">
      <c r="A2" s="346" t="n"/>
      <c r="B2" s="346" t="n"/>
      <c r="C2" s="346" t="n"/>
      <c r="D2" s="346" t="n"/>
      <c r="E2" s="346" t="n"/>
      <c r="F2" s="346" t="n"/>
      <c r="G2" s="346" t="n"/>
    </row>
    <row r="3">
      <c r="A3" s="303" t="inlineStr">
        <is>
          <t>Расчет стоимости оборудования</t>
        </is>
      </c>
    </row>
    <row r="4">
      <c r="A4" s="306" t="inlineStr">
        <is>
          <t>Наименование разрабатываемого показателя УНЦ — Муфта соединительная 6 кВ сечением 50 мм2.</t>
        </is>
      </c>
    </row>
    <row r="5">
      <c r="A5" s="272" t="n"/>
      <c r="B5" s="272" t="n"/>
      <c r="C5" s="272" t="n"/>
      <c r="D5" s="272" t="n"/>
      <c r="E5" s="272" t="n"/>
      <c r="F5" s="272" t="n"/>
      <c r="G5" s="272" t="n"/>
    </row>
    <row r="6" ht="30" customHeight="1" s="298">
      <c r="A6" s="330" t="inlineStr">
        <is>
          <t>№ пп.</t>
        </is>
      </c>
      <c r="B6" s="330" t="inlineStr">
        <is>
          <t>Код ресурса</t>
        </is>
      </c>
      <c r="C6" s="330" t="inlineStr">
        <is>
          <t>Наименование</t>
        </is>
      </c>
      <c r="D6" s="330" t="inlineStr">
        <is>
          <t>Ед. изм.</t>
        </is>
      </c>
      <c r="E6" s="330" t="inlineStr">
        <is>
          <t>Кол-во единиц по проектным данным</t>
        </is>
      </c>
      <c r="F6" s="351" t="inlineStr">
        <is>
          <t>Сметная стоимость в ценах на 01.01.2000 (руб.)</t>
        </is>
      </c>
      <c r="G6" s="411" t="n"/>
    </row>
    <row r="7">
      <c r="A7" s="413" t="n"/>
      <c r="B7" s="413" t="n"/>
      <c r="C7" s="413" t="n"/>
      <c r="D7" s="413" t="n"/>
      <c r="E7" s="413" t="n"/>
      <c r="F7" s="330" t="inlineStr">
        <is>
          <t>на ед. изм.</t>
        </is>
      </c>
      <c r="G7" s="330" t="inlineStr">
        <is>
          <t>общая</t>
        </is>
      </c>
    </row>
    <row r="8">
      <c r="A8" s="330" t="n">
        <v>1</v>
      </c>
      <c r="B8" s="330" t="n">
        <v>2</v>
      </c>
      <c r="C8" s="330" t="n">
        <v>3</v>
      </c>
      <c r="D8" s="330" t="n">
        <v>4</v>
      </c>
      <c r="E8" s="330" t="n">
        <v>5</v>
      </c>
      <c r="F8" s="330" t="n">
        <v>6</v>
      </c>
      <c r="G8" s="330" t="n">
        <v>7</v>
      </c>
    </row>
    <row r="9" ht="15" customHeight="1" s="298">
      <c r="A9" s="221" t="n"/>
      <c r="B9" s="338" t="inlineStr">
        <is>
          <t>ИНЖЕНЕРНОЕ ОБОРУДОВАНИЕ</t>
        </is>
      </c>
      <c r="C9" s="410" t="n"/>
      <c r="D9" s="410" t="n"/>
      <c r="E9" s="410" t="n"/>
      <c r="F9" s="410" t="n"/>
      <c r="G9" s="411" t="n"/>
    </row>
    <row r="10" ht="27" customHeight="1" s="298">
      <c r="A10" s="330" t="n"/>
      <c r="B10" s="320" t="n"/>
      <c r="C10" s="338" t="inlineStr">
        <is>
          <t>ИТОГО ИНЖЕНЕРНОЕ ОБОРУДОВАНИЕ</t>
        </is>
      </c>
      <c r="D10" s="320" t="n"/>
      <c r="E10" s="148" t="n"/>
      <c r="F10" s="340" t="n"/>
      <c r="G10" s="340" t="n">
        <v>0</v>
      </c>
    </row>
    <row r="11">
      <c r="A11" s="330" t="n"/>
      <c r="B11" s="338" t="inlineStr">
        <is>
          <t>ТЕХНОЛОГИЧЕСКОЕ ОБОРУДОВАНИЕ</t>
        </is>
      </c>
      <c r="C11" s="410" t="n"/>
      <c r="D11" s="410" t="n"/>
      <c r="E11" s="410" t="n"/>
      <c r="F11" s="410" t="n"/>
      <c r="G11" s="411" t="n"/>
    </row>
    <row r="12" ht="25.5" customHeight="1" s="298">
      <c r="A12" s="330" t="n"/>
      <c r="B12" s="338" t="n"/>
      <c r="C12" s="338" t="inlineStr">
        <is>
          <t>ИТОГО ТЕХНОЛОГИЧЕСКОЕ ОБОРУДОВАНИЕ</t>
        </is>
      </c>
      <c r="D12" s="338" t="n"/>
      <c r="E12" s="350" t="n"/>
      <c r="F12" s="340" t="n"/>
      <c r="G12" s="196" t="n">
        <v>0</v>
      </c>
    </row>
    <row r="13" ht="19.5" customHeight="1" s="298">
      <c r="A13" s="330" t="n"/>
      <c r="B13" s="338" t="n"/>
      <c r="C13" s="338" t="inlineStr">
        <is>
          <t>Всего по разделу «Оборудование»</t>
        </is>
      </c>
      <c r="D13" s="338" t="n"/>
      <c r="E13" s="350" t="n"/>
      <c r="F13" s="340" t="n"/>
      <c r="G13" s="196">
        <f>G10+G12</f>
        <v/>
      </c>
    </row>
    <row r="14">
      <c r="A14" s="274" t="n"/>
      <c r="B14" s="151" t="n"/>
      <c r="C14" s="274" t="n"/>
      <c r="D14" s="274" t="n"/>
      <c r="E14" s="274" t="n"/>
      <c r="F14" s="274" t="n"/>
      <c r="G14" s="274" t="n"/>
    </row>
    <row r="15">
      <c r="A15" s="272" t="inlineStr">
        <is>
          <t>Составил ______________________    А.Р. Маркова</t>
        </is>
      </c>
      <c r="B15" s="273" t="n"/>
      <c r="C15" s="273" t="n"/>
      <c r="D15" s="274" t="n"/>
      <c r="E15" s="274" t="n"/>
      <c r="F15" s="274" t="n"/>
      <c r="G15" s="274" t="n"/>
    </row>
    <row r="16">
      <c r="A16" s="275" t="inlineStr">
        <is>
          <t xml:space="preserve">                         (подпись, инициалы, фамилия)</t>
        </is>
      </c>
      <c r="B16" s="273" t="n"/>
      <c r="C16" s="273" t="n"/>
      <c r="D16" s="274" t="n"/>
      <c r="E16" s="274" t="n"/>
      <c r="F16" s="274" t="n"/>
      <c r="G16" s="274" t="n"/>
    </row>
    <row r="17">
      <c r="A17" s="272" t="n"/>
      <c r="B17" s="273" t="n"/>
      <c r="C17" s="273" t="n"/>
      <c r="D17" s="274" t="n"/>
      <c r="E17" s="274" t="n"/>
      <c r="F17" s="274" t="n"/>
      <c r="G17" s="274" t="n"/>
    </row>
    <row r="18">
      <c r="A18" s="272" t="inlineStr">
        <is>
          <t>Проверил ______________________        А.В. Костянецкая</t>
        </is>
      </c>
      <c r="B18" s="273" t="n"/>
      <c r="C18" s="273" t="n"/>
      <c r="D18" s="274" t="n"/>
      <c r="E18" s="274" t="n"/>
      <c r="F18" s="274" t="n"/>
      <c r="G18" s="274" t="n"/>
    </row>
    <row r="19">
      <c r="A19" s="275" t="inlineStr">
        <is>
          <t xml:space="preserve">                        (подпись, инициалы, фамилия)</t>
        </is>
      </c>
      <c r="B19" s="273" t="n"/>
      <c r="C19" s="273" t="n"/>
      <c r="D19" s="274" t="n"/>
      <c r="E19" s="274" t="n"/>
      <c r="F19" s="274" t="n"/>
      <c r="G19" s="27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298" min="1" max="1"/>
    <col width="22.44140625" customWidth="1" style="298" min="2" max="2"/>
    <col width="37.109375" customWidth="1" style="298" min="3" max="3"/>
    <col width="49" customWidth="1" style="298" min="4" max="4"/>
    <col width="9.109375" customWidth="1" style="298" min="5" max="5"/>
  </cols>
  <sheetData>
    <row r="1" ht="15.75" customHeight="1" s="298">
      <c r="A1" s="300" t="n"/>
      <c r="B1" s="300" t="n"/>
      <c r="C1" s="300" t="n"/>
      <c r="D1" s="327" t="inlineStr">
        <is>
          <t>Приложение №7</t>
        </is>
      </c>
    </row>
    <row r="2" ht="15.75" customHeight="1" s="298">
      <c r="A2" s="300" t="n"/>
      <c r="B2" s="300" t="n"/>
      <c r="C2" s="300" t="n"/>
      <c r="D2" s="300" t="n"/>
    </row>
    <row r="3" ht="15.75" customHeight="1" s="298">
      <c r="A3" s="300" t="n"/>
      <c r="B3" s="267" t="inlineStr">
        <is>
          <t>Расчет показателя УНЦ</t>
        </is>
      </c>
      <c r="C3" s="300" t="n"/>
      <c r="D3" s="300" t="n"/>
    </row>
    <row r="4" ht="15.75" customHeight="1" s="298">
      <c r="A4" s="300" t="n"/>
      <c r="B4" s="300" t="n"/>
      <c r="C4" s="300" t="n"/>
      <c r="D4" s="300" t="n"/>
    </row>
    <row r="5" ht="15.75" customHeight="1" s="298">
      <c r="A5" s="352" t="inlineStr">
        <is>
          <t xml:space="preserve">Наименование разрабатываемого показателя УНЦ - </t>
        </is>
      </c>
      <c r="D5" s="352">
        <f>'Прил.5 Расчет СМР и ОБ'!D6:J6</f>
        <v/>
      </c>
    </row>
    <row r="6" ht="15.75" customHeight="1" s="298">
      <c r="A6" s="300" t="inlineStr">
        <is>
          <t>Единица измерения  — 1 ед</t>
        </is>
      </c>
      <c r="B6" s="300" t="n"/>
      <c r="C6" s="300" t="n"/>
      <c r="D6" s="300" t="n"/>
    </row>
    <row r="7" ht="15.75" customHeight="1" s="298">
      <c r="A7" s="300" t="n"/>
      <c r="B7" s="300" t="n"/>
      <c r="C7" s="300" t="n"/>
      <c r="D7" s="300" t="n"/>
    </row>
    <row r="8">
      <c r="A8" s="319" t="inlineStr">
        <is>
          <t>Код показателя</t>
        </is>
      </c>
      <c r="B8" s="319" t="inlineStr">
        <is>
          <t>Наименование показателя</t>
        </is>
      </c>
      <c r="C8" s="319" t="inlineStr">
        <is>
          <t>Наименование РМ, входящих в состав показателя</t>
        </is>
      </c>
      <c r="D8" s="319" t="inlineStr">
        <is>
          <t>Норматив цены на 01.01.2023, тыс.руб.</t>
        </is>
      </c>
    </row>
    <row r="9">
      <c r="A9" s="413" t="n"/>
      <c r="B9" s="413" t="n"/>
      <c r="C9" s="413" t="n"/>
      <c r="D9" s="413" t="n"/>
    </row>
    <row r="10" ht="15.75" customHeight="1" s="298">
      <c r="A10" s="319" t="n">
        <v>1</v>
      </c>
      <c r="B10" s="319" t="n">
        <v>2</v>
      </c>
      <c r="C10" s="319" t="n">
        <v>3</v>
      </c>
      <c r="D10" s="319" t="n">
        <v>4</v>
      </c>
    </row>
    <row r="11" ht="31.5" customHeight="1" s="298">
      <c r="A11" s="319" t="inlineStr">
        <is>
          <t>К2-02-1</t>
        </is>
      </c>
      <c r="B11" s="319" t="inlineStr">
        <is>
          <t xml:space="preserve">УНЦ КЛ 6 - 500 кВ (с медной жилой) </t>
        </is>
      </c>
      <c r="C11" s="296">
        <f>D5</f>
        <v/>
      </c>
      <c r="D11" s="271">
        <f>'Прил.4 РМ'!C41/1000</f>
        <v/>
      </c>
    </row>
    <row r="13">
      <c r="A13" s="272" t="inlineStr">
        <is>
          <t>Составил ______________________    А.Р. Маркова</t>
        </is>
      </c>
      <c r="B13" s="273" t="n"/>
      <c r="C13" s="273" t="n"/>
      <c r="D13" s="274" t="n"/>
    </row>
    <row r="14">
      <c r="A14" s="275" t="inlineStr">
        <is>
          <t xml:space="preserve">                         (подпись, инициалы, фамилия)</t>
        </is>
      </c>
      <c r="B14" s="273" t="n"/>
      <c r="C14" s="273" t="n"/>
      <c r="D14" s="274" t="n"/>
    </row>
    <row r="15">
      <c r="A15" s="272" t="n"/>
      <c r="B15" s="273" t="n"/>
      <c r="C15" s="273" t="n"/>
      <c r="D15" s="274" t="n"/>
    </row>
    <row r="16">
      <c r="A16" s="272" t="inlineStr">
        <is>
          <t>Проверил ______________________        А.В. Костянецкая</t>
        </is>
      </c>
      <c r="B16" s="273" t="n"/>
      <c r="C16" s="273" t="n"/>
      <c r="D16" s="274" t="n"/>
    </row>
    <row r="17" ht="20.25" customHeight="1" s="298">
      <c r="A17" s="275" t="inlineStr">
        <is>
          <t xml:space="preserve">                        (подпись, инициалы, фамилия)</t>
        </is>
      </c>
      <c r="B17" s="273" t="n"/>
      <c r="C17" s="273" t="n"/>
      <c r="D17" s="27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3"/>
  <sheetViews>
    <sheetView view="pageBreakPreview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298" min="1" max="1"/>
    <col width="40.6640625" customWidth="1" style="298" min="2" max="2"/>
    <col width="38.33203125" customWidth="1" style="298" min="3" max="3"/>
    <col width="32" customWidth="1" style="298" min="4" max="4"/>
    <col width="9.109375" customWidth="1" style="298" min="5" max="5"/>
  </cols>
  <sheetData>
    <row r="4" ht="15.75" customHeight="1" s="298">
      <c r="B4" s="313" t="inlineStr">
        <is>
          <t>Приложение № 10</t>
        </is>
      </c>
    </row>
    <row r="5" ht="18.75" customHeight="1" s="298">
      <c r="B5" s="172" t="n"/>
    </row>
    <row r="6" ht="15.75" customHeight="1" s="298">
      <c r="B6" s="314" t="inlineStr">
        <is>
          <t>Используемые индексы изменений сметной стоимости и нормы сопутствующих затрат</t>
        </is>
      </c>
    </row>
    <row r="7">
      <c r="B7" s="353" t="n"/>
    </row>
    <row r="8">
      <c r="B8" s="353" t="n"/>
      <c r="C8" s="353" t="n"/>
      <c r="D8" s="353" t="n"/>
      <c r="E8" s="353" t="n"/>
    </row>
    <row r="9" ht="47.25" customHeight="1" s="298">
      <c r="B9" s="319" t="inlineStr">
        <is>
          <t>Наименование индекса / норм сопутствующих затрат</t>
        </is>
      </c>
      <c r="C9" s="319" t="inlineStr">
        <is>
          <t>Дата применения и обоснование индекса / норм сопутствующих затрат</t>
        </is>
      </c>
      <c r="D9" s="319" t="inlineStr">
        <is>
          <t>Размер индекса / норма сопутствующих затрат</t>
        </is>
      </c>
    </row>
    <row r="10" ht="15.75" customHeight="1" s="298">
      <c r="B10" s="319" t="n">
        <v>1</v>
      </c>
      <c r="C10" s="319" t="n">
        <v>2</v>
      </c>
      <c r="D10" s="319" t="n">
        <v>3</v>
      </c>
    </row>
    <row r="11" ht="31.5" customHeight="1" s="298">
      <c r="B11" s="319" t="inlineStr">
        <is>
          <t xml:space="preserve">Индекс изменения сметной стоимости на 1 квартал 2023 года. ОЗП </t>
        </is>
      </c>
      <c r="C11" s="319" t="inlineStr">
        <is>
          <t>Письмо Минстроя России от 30.03.2023г. №17106-ИФ/09  прил.1</t>
        </is>
      </c>
      <c r="D11" s="319" t="n">
        <v>44.29</v>
      </c>
    </row>
    <row r="12" ht="31.5" customHeight="1" s="298">
      <c r="B12" s="319" t="inlineStr">
        <is>
          <t>Индекс изменения сметной стоимости на 1 квартал 2023 года. ЭМ</t>
        </is>
      </c>
      <c r="C12" s="319" t="inlineStr">
        <is>
          <t>Письмо Минстроя России от 30.03.2023г. №17106-ИФ/09  прил.1</t>
        </is>
      </c>
      <c r="D12" s="319" t="n">
        <v>10.84</v>
      </c>
    </row>
    <row r="13" ht="31.5" customHeight="1" s="298">
      <c r="B13" s="319" t="inlineStr">
        <is>
          <t>Индекс изменения сметной стоимости на 1 квартал 2023 года. МАТ</t>
        </is>
      </c>
      <c r="C13" s="319" t="inlineStr">
        <is>
          <t>Письмо Минстроя России от 30.03.2023г. №17106-ИФ/09  прил.1</t>
        </is>
      </c>
      <c r="D13" s="319" t="n">
        <v>5.34</v>
      </c>
    </row>
    <row r="14" ht="31.5" customHeight="1" s="298">
      <c r="B14" s="319" t="inlineStr">
        <is>
          <t>Индекс изменения сметной стоимости на 1 квартал 2023 года. ОБ</t>
        </is>
      </c>
      <c r="C14" s="319" t="inlineStr">
        <is>
          <t>Письмо Минстроя России от 23.02.2023г. №9791-ИФ/09 прил.6</t>
        </is>
      </c>
      <c r="D14" s="319" t="n">
        <v>6.26</v>
      </c>
    </row>
    <row r="15" ht="89.25" customHeight="1" s="298">
      <c r="B15" s="319" t="inlineStr">
        <is>
          <t>Временные здания и сооружения</t>
        </is>
      </c>
      <c r="C15" s="31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298">
      <c r="B16" s="319" t="inlineStr">
        <is>
          <t>Дополнительные затраты при производстве строительно-монтажных работ в зимнее время</t>
        </is>
      </c>
      <c r="C16" s="3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8">
      <c r="B17" s="319" t="inlineStr">
        <is>
          <t>Пусконаладочные работы*</t>
        </is>
      </c>
      <c r="C17" s="319" t="n"/>
      <c r="D17" s="319" t="inlineStr">
        <is>
          <t>Расчет</t>
        </is>
      </c>
    </row>
    <row r="18" ht="31.5" customHeight="1" s="298">
      <c r="B18" s="319" t="inlineStr">
        <is>
          <t>Строительный контроль</t>
        </is>
      </c>
      <c r="C18" s="319" t="inlineStr">
        <is>
          <t>Постановление Правительства РФ от 21.06.10 г. № 468</t>
        </is>
      </c>
      <c r="D18" s="175" t="n">
        <v>0.0214</v>
      </c>
    </row>
    <row r="19" ht="31.5" customHeight="1" s="298">
      <c r="B19" s="319" t="inlineStr">
        <is>
          <t>Авторский надзор - 0,2%</t>
        </is>
      </c>
      <c r="C19" s="319" t="inlineStr">
        <is>
          <t>Приказ от 4.08.2020 № 421/пр п.173</t>
        </is>
      </c>
      <c r="D19" s="175" t="n">
        <v>0.002</v>
      </c>
    </row>
    <row r="20" ht="24" customHeight="1" s="298">
      <c r="B20" s="319" t="inlineStr">
        <is>
          <t>Непредвиденные расходы</t>
        </is>
      </c>
      <c r="C20" s="319" t="inlineStr">
        <is>
          <t>Приказ от 4.08.2020 № 421/пр п.179</t>
        </is>
      </c>
      <c r="D20" s="175" t="n">
        <v>0.03</v>
      </c>
    </row>
    <row r="21" ht="18.75" customHeight="1" s="298">
      <c r="B21" s="235" t="n"/>
    </row>
    <row r="22" ht="18.75" customHeight="1" s="298">
      <c r="B22" s="235" t="n"/>
    </row>
    <row r="23" ht="18.75" customHeight="1" s="298">
      <c r="B23" s="235" t="n"/>
    </row>
    <row r="24" ht="18.75" customHeight="1" s="298"/>
    <row r="25">
      <c r="B25" s="272" t="inlineStr">
        <is>
          <t>Составил ______________________    А.Р. Маркова</t>
        </is>
      </c>
    </row>
    <row r="26">
      <c r="B26" s="275" t="inlineStr">
        <is>
          <t xml:space="preserve">                         (подпись, инициалы, фамилия)</t>
        </is>
      </c>
    </row>
    <row r="27">
      <c r="B27" s="272" t="n"/>
      <c r="C27" s="273" t="n"/>
    </row>
    <row r="28">
      <c r="B28" s="272" t="inlineStr">
        <is>
          <t>Проверил ______________________        А.В. Костянецкая</t>
        </is>
      </c>
      <c r="C28" s="273" t="n"/>
    </row>
    <row r="29">
      <c r="B29" s="275" t="inlineStr">
        <is>
          <t xml:space="preserve">                        (подпись, инициалы, фамилия)</t>
        </is>
      </c>
      <c r="C29" s="273" t="n"/>
    </row>
    <row r="30">
      <c r="C30" s="273" t="n"/>
    </row>
    <row r="31">
      <c r="C31" s="273" t="n"/>
    </row>
    <row r="32"/>
    <row r="33"/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S4" sqref="S4"/>
    </sheetView>
  </sheetViews>
  <sheetFormatPr baseColWidth="8" defaultColWidth="9.109375" defaultRowHeight="14.4"/>
  <cols>
    <col width="44.88671875" customWidth="1" style="298" min="2" max="2"/>
    <col width="13" customWidth="1" style="298" min="3" max="3"/>
    <col width="22.88671875" customWidth="1" style="298" min="4" max="4"/>
    <col width="21.5546875" customWidth="1" style="298" min="5" max="5"/>
    <col width="43.88671875" customWidth="1" style="298" min="6" max="6"/>
  </cols>
  <sheetData>
    <row r="1" s="298"/>
    <row r="2" ht="17.25" customHeight="1" s="298">
      <c r="A2" s="314" t="inlineStr">
        <is>
          <t>Расчет размера средств на оплату труда рабочих-строителей в текущем уровне цен (ФОТр.тек.)</t>
        </is>
      </c>
    </row>
    <row r="3" s="298"/>
    <row r="4" ht="18" customHeight="1" s="298">
      <c r="A4" s="299" t="inlineStr">
        <is>
          <t>Составлен в уровне цен на 01.01.2023 г.</t>
        </is>
      </c>
      <c r="B4" s="300" t="n"/>
      <c r="C4" s="300" t="n"/>
      <c r="D4" s="300" t="n"/>
      <c r="E4" s="300" t="n"/>
      <c r="F4" s="300" t="n"/>
      <c r="G4" s="300" t="n"/>
    </row>
    <row r="5" ht="15.75" customHeight="1" s="298">
      <c r="A5" s="397" t="inlineStr">
        <is>
          <t>№ пп.</t>
        </is>
      </c>
      <c r="B5" s="397" t="inlineStr">
        <is>
          <t>Наименование элемента</t>
        </is>
      </c>
      <c r="C5" s="397" t="inlineStr">
        <is>
          <t>Обозначение</t>
        </is>
      </c>
      <c r="D5" s="397" t="inlineStr">
        <is>
          <t>Формула</t>
        </is>
      </c>
      <c r="E5" s="397" t="inlineStr">
        <is>
          <t>Величина элемента</t>
        </is>
      </c>
      <c r="F5" s="397" t="inlineStr">
        <is>
          <t>Наименования обосновывающих документов</t>
        </is>
      </c>
      <c r="G5" s="300" t="n"/>
    </row>
    <row r="6" ht="15.75" customHeight="1" s="298">
      <c r="A6" s="397" t="n">
        <v>1</v>
      </c>
      <c r="B6" s="397" t="n">
        <v>2</v>
      </c>
      <c r="C6" s="397" t="n">
        <v>3</v>
      </c>
      <c r="D6" s="397" t="n">
        <v>4</v>
      </c>
      <c r="E6" s="397" t="n">
        <v>5</v>
      </c>
      <c r="F6" s="397" t="n">
        <v>6</v>
      </c>
      <c r="G6" s="300" t="n"/>
    </row>
    <row r="7" ht="110.25" customHeight="1" s="298">
      <c r="A7" s="398" t="inlineStr">
        <is>
          <t>1.1</t>
        </is>
      </c>
      <c r="B7" s="3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00" t="inlineStr">
        <is>
          <t>С1ср</t>
        </is>
      </c>
      <c r="D7" s="400" t="inlineStr">
        <is>
          <t>-</t>
        </is>
      </c>
      <c r="E7" s="401" t="n">
        <v>47872.94</v>
      </c>
      <c r="F7" s="3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0" t="n"/>
    </row>
    <row r="8" ht="31.5" customHeight="1" s="298">
      <c r="A8" s="398" t="inlineStr">
        <is>
          <t>1.2</t>
        </is>
      </c>
      <c r="B8" s="399" t="inlineStr">
        <is>
          <t>Среднегодовое нормативное число часов работы одного рабочего в месяц, часы (ч.)</t>
        </is>
      </c>
      <c r="C8" s="400" t="inlineStr">
        <is>
          <t>tср</t>
        </is>
      </c>
      <c r="D8" s="400" t="inlineStr">
        <is>
          <t>1973ч/12мес.</t>
        </is>
      </c>
      <c r="E8" s="402">
        <f>1973/12</f>
        <v/>
      </c>
      <c r="F8" s="399" t="inlineStr">
        <is>
          <t>Производственный календарь 2023 год
(40-часов.неделя)</t>
        </is>
      </c>
      <c r="G8" s="302" t="n"/>
    </row>
    <row r="9" ht="15.75" customHeight="1" s="298">
      <c r="A9" s="398" t="inlineStr">
        <is>
          <t>1.3</t>
        </is>
      </c>
      <c r="B9" s="399" t="inlineStr">
        <is>
          <t>Коэффициент увеличения</t>
        </is>
      </c>
      <c r="C9" s="400" t="inlineStr">
        <is>
          <t>Кув</t>
        </is>
      </c>
      <c r="D9" s="400" t="inlineStr">
        <is>
          <t>-</t>
        </is>
      </c>
      <c r="E9" s="402" t="n">
        <v>1</v>
      </c>
      <c r="F9" s="399" t="n"/>
      <c r="G9" s="302" t="n"/>
    </row>
    <row r="10" ht="15.75" customHeight="1" s="298">
      <c r="A10" s="398" t="inlineStr">
        <is>
          <t>1.4</t>
        </is>
      </c>
      <c r="B10" s="399" t="inlineStr">
        <is>
          <t>Средний разряд работ</t>
        </is>
      </c>
      <c r="C10" s="400" t="n"/>
      <c r="D10" s="400" t="n"/>
      <c r="E10" s="425" t="n">
        <v>3.8</v>
      </c>
      <c r="F10" s="399" t="inlineStr">
        <is>
          <t>РТМ</t>
        </is>
      </c>
      <c r="G10" s="302" t="n"/>
    </row>
    <row r="11" ht="78.75" customHeight="1" s="298">
      <c r="A11" s="398" t="inlineStr">
        <is>
          <t>1.5</t>
        </is>
      </c>
      <c r="B11" s="399" t="inlineStr">
        <is>
          <t>Тарифный коэффициент среднего разряда работ</t>
        </is>
      </c>
      <c r="C11" s="400" t="inlineStr">
        <is>
          <t>КТ</t>
        </is>
      </c>
      <c r="D11" s="400" t="inlineStr">
        <is>
          <t>-</t>
        </is>
      </c>
      <c r="E11" s="426" t="n">
        <v>1.308</v>
      </c>
      <c r="F11" s="3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0" t="n"/>
    </row>
    <row r="12" ht="78.75" customHeight="1" s="298">
      <c r="A12" s="398" t="inlineStr">
        <is>
          <t>1.6</t>
        </is>
      </c>
      <c r="B12" s="405" t="inlineStr">
        <is>
          <t>Коэффициент инфляции, определяемый поквартально</t>
        </is>
      </c>
      <c r="C12" s="400" t="inlineStr">
        <is>
          <t>Кинф</t>
        </is>
      </c>
      <c r="D12" s="400" t="inlineStr">
        <is>
          <t>-</t>
        </is>
      </c>
      <c r="E12" s="427" t="n">
        <v>1.139</v>
      </c>
      <c r="F12" s="4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8">
      <c r="A13" s="398" t="inlineStr">
        <is>
          <t>1.7</t>
        </is>
      </c>
      <c r="B13" s="408" t="inlineStr">
        <is>
          <t>Размер средств на оплату труда рабочих-строителей в текущем уровне цен (ФОТр.тек.), руб/чел.-ч</t>
        </is>
      </c>
      <c r="C13" s="400" t="inlineStr">
        <is>
          <t>ФОТр.тек.</t>
        </is>
      </c>
      <c r="D13" s="400" t="inlineStr">
        <is>
          <t>(С1ср/tср*КТ*Т*Кув)*Кинф</t>
        </is>
      </c>
      <c r="E13" s="409">
        <f>((E7*E9/E8)*E11)*E12</f>
        <v/>
      </c>
      <c r="F13" s="39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2025-01-24T12:04:57Z</dcterms:modified>
  <cp:lastModifiedBy>user1</cp:lastModifiedBy>
</cp:coreProperties>
</file>