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7" t="inlineStr">
        <is>
          <t>Приложение № 1</t>
        </is>
      </c>
    </row>
    <row r="4">
      <c r="B4" s="218" t="inlineStr">
        <is>
          <t>Сравнительная таблица отбора объекта-представителя</t>
        </is>
      </c>
    </row>
    <row r="5" ht="84" customHeight="1">
      <c r="B5" s="2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19" t="inlineStr">
        <is>
          <t>Наименование разрабатываемого показателя УНЦ - Муфта концевая 6 кВ сечением 120 мм2.</t>
        </is>
      </c>
    </row>
    <row r="8" ht="15.75" customHeight="1">
      <c r="B8" s="219" t="inlineStr">
        <is>
          <t>Сопоставимый уровень цен: 2 квартал 2018 года</t>
        </is>
      </c>
    </row>
    <row r="9" ht="15.75" customHeight="1">
      <c r="B9" s="219" t="inlineStr">
        <is>
          <t>Единица измерения  — 1 ед</t>
        </is>
      </c>
    </row>
    <row r="10">
      <c r="B10" s="219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47" t="n"/>
    </row>
    <row r="12" ht="96.75" customHeight="1">
      <c r="B12" s="223" t="n">
        <v>1</v>
      </c>
      <c r="C12" s="229" t="inlineStr">
        <is>
          <t>Наименование объекта-представителя</t>
        </is>
      </c>
      <c r="D12" s="223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3" t="n">
        <v>2</v>
      </c>
      <c r="C13" s="229" t="inlineStr">
        <is>
          <t>Наименование субъекта Российской Федерации</t>
        </is>
      </c>
      <c r="D13" s="223" t="inlineStr">
        <is>
          <t>Челябинская область</t>
        </is>
      </c>
    </row>
    <row r="14">
      <c r="B14" s="223" t="n">
        <v>3</v>
      </c>
      <c r="C14" s="229" t="inlineStr">
        <is>
          <t>Климатический район и подрайон</t>
        </is>
      </c>
      <c r="D14" s="223" t="inlineStr">
        <is>
          <t>IВ</t>
        </is>
      </c>
    </row>
    <row r="15">
      <c r="B15" s="223" t="n">
        <v>4</v>
      </c>
      <c r="C15" s="229" t="inlineStr">
        <is>
          <t>Мощность объекта</t>
        </is>
      </c>
      <c r="D15" s="223" t="n">
        <v>1</v>
      </c>
    </row>
    <row r="16" ht="63" customHeight="1">
      <c r="B16" s="22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Муфта концевая 6 кВ сечением 120 мм2</t>
        </is>
      </c>
    </row>
    <row r="17" ht="63" customHeight="1">
      <c r="B17" s="22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58" t="n"/>
    </row>
    <row r="18">
      <c r="B18" s="146" t="inlineStr">
        <is>
          <t>6.1</t>
        </is>
      </c>
      <c r="C18" s="229" t="inlineStr">
        <is>
          <t>строительно-монтажные работы</t>
        </is>
      </c>
      <c r="D18" s="174" t="n">
        <v>14.89</v>
      </c>
    </row>
    <row r="19" ht="15.75" customHeight="1">
      <c r="B19" s="146" t="inlineStr">
        <is>
          <t>6.2</t>
        </is>
      </c>
      <c r="C19" s="229" t="inlineStr">
        <is>
          <t>оборудование и инвентарь</t>
        </is>
      </c>
      <c r="D19" s="174" t="n"/>
    </row>
    <row r="20" ht="16.5" customHeight="1">
      <c r="B20" s="146" t="inlineStr">
        <is>
          <t>6.3</t>
        </is>
      </c>
      <c r="C20" s="229" t="inlineStr">
        <is>
          <t>пусконаладочные работы</t>
        </is>
      </c>
      <c r="D20" s="174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>
        <f>D18*2.5%+(D18+D18*2.5%)*2.9%</f>
        <v/>
      </c>
    </row>
    <row r="22">
      <c r="B22" s="223" t="n">
        <v>7</v>
      </c>
      <c r="C22" s="145" t="inlineStr">
        <is>
          <t>Сопоставимый уровень цен</t>
        </is>
      </c>
      <c r="D22" s="189" t="inlineStr">
        <is>
          <t>2 квартал 2018 года</t>
        </is>
      </c>
      <c r="E22" s="143" t="n"/>
    </row>
    <row r="23" ht="78.75" customHeight="1">
      <c r="B23" s="223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2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23" t="n">
        <v>10</v>
      </c>
      <c r="C25" s="229" t="inlineStr">
        <is>
          <t>Примечание</t>
        </is>
      </c>
      <c r="D25" s="223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7" t="inlineStr">
        <is>
          <t>Приложение № 2</t>
        </is>
      </c>
      <c r="K3" s="139" t="n"/>
    </row>
    <row r="4">
      <c r="B4" s="218" t="inlineStr">
        <is>
          <t>Расчет стоимости основных видов работ для выбора объекта-представителя</t>
        </is>
      </c>
    </row>
    <row r="5">
      <c r="B5" s="224" t="n"/>
      <c r="C5" s="224" t="n"/>
      <c r="D5" s="224" t="n"/>
      <c r="E5" s="224" t="n"/>
      <c r="F5" s="224" t="n"/>
      <c r="G5" s="224" t="n"/>
      <c r="H5" s="224" t="n"/>
      <c r="I5" s="224" t="n"/>
      <c r="J5" s="224" t="n"/>
      <c r="K5" s="224" t="n"/>
    </row>
    <row r="6">
      <c r="B6" s="219">
        <f>'Прил.1 Сравнит табл'!B7:D7</f>
        <v/>
      </c>
    </row>
    <row r="7">
      <c r="B7" s="219">
        <f>'Прил.1 Сравнит табл'!B9:D9</f>
        <v/>
      </c>
    </row>
    <row r="8" ht="18.75" customHeight="1">
      <c r="B8" s="118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>
      <c r="B10" s="304" t="n"/>
      <c r="C10" s="304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2 кв. 2018 г., тыс. руб.</t>
        </is>
      </c>
      <c r="G10" s="302" t="n"/>
      <c r="H10" s="302" t="n"/>
      <c r="I10" s="302" t="n"/>
      <c r="J10" s="303" t="n"/>
    </row>
    <row r="11" ht="31.5" customHeight="1">
      <c r="B11" s="305" t="n"/>
      <c r="C11" s="305" t="n"/>
      <c r="D11" s="305" t="n"/>
      <c r="E11" s="305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220.5" customHeight="1">
      <c r="B12" s="223" t="n">
        <v>1</v>
      </c>
      <c r="C12" s="223" t="inlineStr">
        <is>
          <t>Муфта концевая 6 кВ сечением 120 мм2</t>
        </is>
      </c>
      <c r="D12" s="146" t="inlineStr">
        <is>
          <t>02-01-05</t>
        </is>
      </c>
      <c r="E12" s="22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29" t="n"/>
      <c r="G12" s="183">
        <f>14886.5178/1000</f>
        <v/>
      </c>
      <c r="H12" s="183" t="n"/>
      <c r="I12" s="183" t="n"/>
      <c r="J12" s="183">
        <f>SUM(F12:I12)</f>
        <v/>
      </c>
    </row>
    <row r="13" ht="15" customHeight="1">
      <c r="B13" s="221" t="inlineStr">
        <is>
          <t>Всего по объекту:</t>
        </is>
      </c>
      <c r="C13" s="306" t="n"/>
      <c r="D13" s="306" t="n"/>
      <c r="E13" s="307" t="n"/>
      <c r="F13" s="184" t="n"/>
      <c r="G13" s="185">
        <f>SUM(G12)</f>
        <v/>
      </c>
      <c r="H13" s="185" t="n"/>
      <c r="I13" s="185" t="n"/>
      <c r="J13" s="186">
        <f>SUM(J12)</f>
        <v/>
      </c>
    </row>
    <row r="14" ht="15.75" customHeight="1">
      <c r="B14" s="222" t="inlineStr">
        <is>
          <t>Всего по объекту в сопоставимом уровне цен 2 кв. 2018 г:</t>
        </is>
      </c>
      <c r="C14" s="302" t="n"/>
      <c r="D14" s="302" t="n"/>
      <c r="E14" s="303" t="n"/>
      <c r="F14" s="187" t="n"/>
      <c r="G14" s="188">
        <f>G13</f>
        <v/>
      </c>
      <c r="H14" s="188" t="n"/>
      <c r="I14" s="188" t="n"/>
      <c r="J14" s="186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12" zoomScale="145" zoomScaleSheetLayoutView="145" workbookViewId="0">
      <selection activeCell="C32" sqref="C32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7" t="inlineStr">
        <is>
          <t xml:space="preserve">Приложение № 3 </t>
        </is>
      </c>
    </row>
    <row r="3">
      <c r="A3" s="218" t="inlineStr">
        <is>
          <t>Объектная ресурсная ведомость</t>
        </is>
      </c>
    </row>
    <row r="4" ht="18.75" customHeight="1">
      <c r="A4" s="162" t="n"/>
      <c r="B4" s="162" t="n"/>
      <c r="C4" s="225" t="n"/>
    </row>
    <row r="5">
      <c r="A5" s="219" t="n"/>
    </row>
    <row r="6">
      <c r="A6" s="224" t="inlineStr">
        <is>
          <t>Наименование разрабатываемого показателя УНЦ -  Муфта концевая 6 кВ сечением 120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3" t="inlineStr">
        <is>
          <t>п/п</t>
        </is>
      </c>
      <c r="B8" s="223" t="inlineStr">
        <is>
          <t>№ЛСР</t>
        </is>
      </c>
      <c r="C8" s="223" t="inlineStr">
        <is>
          <t>Код ресурса</t>
        </is>
      </c>
      <c r="D8" s="223" t="inlineStr">
        <is>
          <t>Наименование ресурса</t>
        </is>
      </c>
      <c r="E8" s="223" t="inlineStr">
        <is>
          <t>Ед. изм.</t>
        </is>
      </c>
      <c r="F8" s="223" t="inlineStr">
        <is>
          <t>Кол-во единиц по данным объекта-представителя</t>
        </is>
      </c>
      <c r="G8" s="223" t="inlineStr">
        <is>
          <t>Сметная стоимость в ценах на 01.01.2000 (руб.)</t>
        </is>
      </c>
      <c r="H8" s="303" t="n"/>
    </row>
    <row r="9" ht="40.5" customHeight="1">
      <c r="A9" s="305" t="n"/>
      <c r="B9" s="305" t="n"/>
      <c r="C9" s="305" t="n"/>
      <c r="D9" s="305" t="n"/>
      <c r="E9" s="305" t="n"/>
      <c r="F9" s="305" t="n"/>
      <c r="G9" s="223" t="inlineStr">
        <is>
          <t>на ед.изм.</t>
        </is>
      </c>
      <c r="H9" s="223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7" t="inlineStr">
        <is>
          <t>Затраты труда рабочих</t>
        </is>
      </c>
      <c r="B11" s="302" t="n"/>
      <c r="C11" s="302" t="n"/>
      <c r="D11" s="302" t="n"/>
      <c r="E11" s="303" t="n"/>
      <c r="F11" s="308">
        <f>SUM(F12:F12)</f>
        <v/>
      </c>
      <c r="G11" s="10" t="n"/>
      <c r="H11" s="308">
        <f>SUM(H12:H12)</f>
        <v/>
      </c>
    </row>
    <row r="12">
      <c r="A12" s="238" t="n">
        <v>1</v>
      </c>
      <c r="B12" s="177" t="n"/>
      <c r="C12" s="165" t="inlineStr">
        <is>
          <t>1-3-8</t>
        </is>
      </c>
      <c r="D12" s="237" t="inlineStr">
        <is>
          <t>Затраты труда рабочих (средний разряд работы 3,8)</t>
        </is>
      </c>
      <c r="E12" s="238" t="inlineStr">
        <is>
          <t>чел.-ч</t>
        </is>
      </c>
      <c r="F12" s="238" t="n">
        <v>12.18</v>
      </c>
      <c r="G12" s="309" t="n">
        <v>9.4</v>
      </c>
      <c r="H12" s="32">
        <f>ROUND(F12*G12,2)</f>
        <v/>
      </c>
      <c r="M12" s="310" t="n"/>
    </row>
    <row r="13">
      <c r="A13" s="226" t="inlineStr">
        <is>
          <t>Затраты труда машинистов</t>
        </is>
      </c>
      <c r="B13" s="302" t="n"/>
      <c r="C13" s="302" t="n"/>
      <c r="D13" s="302" t="n"/>
      <c r="E13" s="303" t="n"/>
      <c r="F13" s="227" t="n"/>
      <c r="G13" s="180" t="n"/>
      <c r="H13" s="308">
        <f>H14</f>
        <v/>
      </c>
    </row>
    <row r="14">
      <c r="A14" s="238" t="n">
        <v>2</v>
      </c>
      <c r="B14" s="228" t="n"/>
      <c r="C14" s="165" t="n">
        <v>2</v>
      </c>
      <c r="D14" s="237" t="inlineStr">
        <is>
          <t>Затраты труда машинистов</t>
        </is>
      </c>
      <c r="E14" s="238" t="inlineStr">
        <is>
          <t>чел.-ч</t>
        </is>
      </c>
      <c r="F14" s="238" t="n">
        <v>9.880000000000001</v>
      </c>
      <c r="G14" s="32" t="n"/>
      <c r="H14" s="240" t="n">
        <v>133.36</v>
      </c>
    </row>
    <row r="15" customFormat="1" s="150">
      <c r="A15" s="227" t="inlineStr">
        <is>
          <t>Машины и механизмы</t>
        </is>
      </c>
      <c r="B15" s="302" t="n"/>
      <c r="C15" s="302" t="n"/>
      <c r="D15" s="302" t="n"/>
      <c r="E15" s="303" t="n"/>
      <c r="F15" s="227" t="n"/>
      <c r="G15" s="180" t="n"/>
      <c r="H15" s="308">
        <f>SUM(H16:H18)</f>
        <v/>
      </c>
    </row>
    <row r="16">
      <c r="A16" s="238" t="n">
        <v>3</v>
      </c>
      <c r="B16" s="228" t="n"/>
      <c r="C16" s="165" t="inlineStr">
        <is>
          <t>91.06.09-001</t>
        </is>
      </c>
      <c r="D16" s="237" t="inlineStr">
        <is>
          <t>Вышки телескопические 25 м</t>
        </is>
      </c>
      <c r="E16" s="238" t="inlineStr">
        <is>
          <t>маш.час</t>
        </is>
      </c>
      <c r="F16" s="238" t="n">
        <v>9.84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38" t="n">
        <v>4</v>
      </c>
      <c r="B17" s="228" t="n"/>
      <c r="C17" s="165" t="inlineStr">
        <is>
          <t>91.05.05-015</t>
        </is>
      </c>
      <c r="D17" s="237" t="inlineStr">
        <is>
          <t>Краны на автомобильном ходу, грузоподъемность 16 т</t>
        </is>
      </c>
      <c r="E17" s="238" t="inlineStr">
        <is>
          <t>маш.час</t>
        </is>
      </c>
      <c r="F17" s="238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38" t="n">
        <v>5</v>
      </c>
      <c r="B18" s="228" t="n"/>
      <c r="C18" s="165" t="inlineStr">
        <is>
          <t>91.14.02-001</t>
        </is>
      </c>
      <c r="D18" s="237" t="inlineStr">
        <is>
          <t>Автомобили бортовые, грузоподъемность до 5 т</t>
        </is>
      </c>
      <c r="E18" s="238" t="inlineStr">
        <is>
          <t>маш.час</t>
        </is>
      </c>
      <c r="F18" s="238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27" t="inlineStr">
        <is>
          <t>Материалы</t>
        </is>
      </c>
      <c r="B19" s="302" t="n"/>
      <c r="C19" s="302" t="n"/>
      <c r="D19" s="302" t="n"/>
      <c r="E19" s="303" t="n"/>
      <c r="F19" s="227" t="n"/>
      <c r="G19" s="180" t="n"/>
      <c r="H19" s="308">
        <f>SUM(H20:H23)</f>
        <v/>
      </c>
    </row>
    <row r="20">
      <c r="A20" s="7" t="n">
        <v>6</v>
      </c>
      <c r="B20" s="7" t="n"/>
      <c r="C20" s="238">
        <f>'Прил.5 Расчет СМР и ОБ'!B34</f>
        <v/>
      </c>
      <c r="D20" s="25" t="inlineStr">
        <is>
          <t>Муфта концевая 6 кВ сечением 120 мм2</t>
        </is>
      </c>
      <c r="E20" s="238" t="inlineStr">
        <is>
          <t>шт</t>
        </is>
      </c>
      <c r="F20" s="238" t="n">
        <v>2</v>
      </c>
      <c r="G20" s="25" t="n">
        <v>392.35</v>
      </c>
      <c r="H20" s="32">
        <f>ROUND(F20*G20,2)</f>
        <v/>
      </c>
    </row>
    <row r="21">
      <c r="A21" s="182" t="n">
        <v>7</v>
      </c>
      <c r="B21" s="228" t="n"/>
      <c r="C21" s="165" t="inlineStr">
        <is>
          <t>01.3.01.01-0001</t>
        </is>
      </c>
      <c r="D21" s="237" t="inlineStr">
        <is>
          <t>Бензин авиационный Б-70</t>
        </is>
      </c>
      <c r="E21" s="238" t="inlineStr">
        <is>
          <t>т</t>
        </is>
      </c>
      <c r="F21" s="238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7" t="n">
        <v>8</v>
      </c>
      <c r="B22" s="228" t="n"/>
      <c r="C22" s="165" t="inlineStr">
        <is>
          <t>01.7.06.07-0002</t>
        </is>
      </c>
      <c r="D22" s="237" t="inlineStr">
        <is>
          <t>Лента монтажная, тип ЛМ-5</t>
        </is>
      </c>
      <c r="E22" s="238" t="inlineStr">
        <is>
          <t>10 м</t>
        </is>
      </c>
      <c r="F22" s="238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182" t="n">
        <v>9</v>
      </c>
      <c r="B23" s="228" t="n"/>
      <c r="C23" s="165" t="inlineStr">
        <is>
          <t>01.3.01.05-0009</t>
        </is>
      </c>
      <c r="D23" s="237" t="inlineStr">
        <is>
          <t>Парафин нефтяной твердый Т-1</t>
        </is>
      </c>
      <c r="E23" s="238" t="inlineStr">
        <is>
          <t>т</t>
        </is>
      </c>
      <c r="F23" s="238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7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6" t="inlineStr">
        <is>
          <t>Наименование разрабатываемого показателя УНЦ — Муфта концевая 6 кВ сечением 120 мм2.</t>
        </is>
      </c>
    </row>
    <row r="8">
      <c r="B8" s="230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1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7" t="inlineStr">
        <is>
          <t>Расчет стоимости СМР и оборудования</t>
        </is>
      </c>
    </row>
    <row r="5" ht="12.75" customFormat="1" customHeight="1" s="4">
      <c r="A5" s="207" t="n"/>
      <c r="B5" s="207" t="n"/>
      <c r="C5" s="259" t="n"/>
      <c r="D5" s="207" t="n"/>
      <c r="E5" s="207" t="n"/>
      <c r="F5" s="207" t="n"/>
      <c r="G5" s="207" t="n"/>
      <c r="H5" s="207" t="n"/>
      <c r="I5" s="207" t="n"/>
      <c r="J5" s="207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0" t="inlineStr">
        <is>
          <t>Муфта концевая 6 кВ сечением 120 мм2.</t>
        </is>
      </c>
    </row>
    <row r="7" ht="12.75" customFormat="1" customHeight="1" s="4">
      <c r="A7" s="210" t="inlineStr">
        <is>
          <t>Единица измерения  — 1 ед</t>
        </is>
      </c>
      <c r="I7" s="216" t="n"/>
      <c r="J7" s="216" t="n"/>
    </row>
    <row r="8" ht="13.5" customFormat="1" customHeight="1" s="4">
      <c r="A8" s="210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3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3" t="n"/>
      <c r="M10" s="12" t="n"/>
      <c r="N10" s="12" t="n"/>
    </row>
    <row r="11" ht="28.5" customHeight="1">
      <c r="A11" s="305" t="n"/>
      <c r="B11" s="305" t="n"/>
      <c r="C11" s="305" t="n"/>
      <c r="D11" s="305" t="n"/>
      <c r="E11" s="305" t="n"/>
      <c r="F11" s="238" t="inlineStr">
        <is>
          <t>на ед. изм.</t>
        </is>
      </c>
      <c r="G11" s="238" t="inlineStr">
        <is>
          <t>общая</t>
        </is>
      </c>
      <c r="H11" s="305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2" t="n">
        <v>9</v>
      </c>
      <c r="J12" s="232" t="n">
        <v>10</v>
      </c>
      <c r="M12" s="12" t="n"/>
      <c r="N12" s="12" t="n"/>
    </row>
    <row r="13">
      <c r="A13" s="238" t="n"/>
      <c r="B13" s="236" t="inlineStr">
        <is>
          <t>Затраты труда рабочих-строителей</t>
        </is>
      </c>
      <c r="C13" s="302" t="n"/>
      <c r="D13" s="302" t="n"/>
      <c r="E13" s="302" t="n"/>
      <c r="F13" s="302" t="n"/>
      <c r="G13" s="302" t="n"/>
      <c r="H13" s="303" t="n"/>
      <c r="I13" s="175" t="n"/>
      <c r="J13" s="175" t="n"/>
    </row>
    <row r="14" ht="25.5" customHeight="1">
      <c r="A14" s="238" t="n">
        <v>1</v>
      </c>
      <c r="B14" s="165" t="inlineStr">
        <is>
          <t>1-3-8</t>
        </is>
      </c>
      <c r="C14" s="237" t="inlineStr">
        <is>
          <t>Затраты труда рабочих-строителей среднего разряда (3,8)</t>
        </is>
      </c>
      <c r="D14" s="238" t="inlineStr">
        <is>
          <t>чел.-ч.</t>
        </is>
      </c>
      <c r="E14" s="312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8" t="n"/>
      <c r="B15" s="238" t="n"/>
      <c r="C15" s="236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2">
        <f>SUM(E14:E14)</f>
        <v/>
      </c>
      <c r="F15" s="32" t="n"/>
      <c r="G15" s="32">
        <f>SUM(G14:G14)</f>
        <v/>
      </c>
      <c r="H15" s="241" t="n">
        <v>1</v>
      </c>
      <c r="I15" s="175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2" t="n"/>
      <c r="D16" s="302" t="n"/>
      <c r="E16" s="302" t="n"/>
      <c r="F16" s="302" t="n"/>
      <c r="G16" s="302" t="n"/>
      <c r="H16" s="303" t="n"/>
      <c r="I16" s="175" t="n"/>
      <c r="J16" s="175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312" t="n">
        <v>9.880000000000001</v>
      </c>
      <c r="F17" s="32">
        <f>G17/E17</f>
        <v/>
      </c>
      <c r="G17" s="32">
        <f>'Прил. 3'!H13</f>
        <v/>
      </c>
      <c r="H17" s="241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8" t="n"/>
      <c r="B18" s="236" t="inlineStr">
        <is>
          <t>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75" t="n"/>
      <c r="J18" s="175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2" t="n"/>
      <c r="D19" s="302" t="n"/>
      <c r="E19" s="302" t="n"/>
      <c r="F19" s="302" t="n"/>
      <c r="G19" s="302" t="n"/>
      <c r="H19" s="303" t="n"/>
      <c r="I19" s="175" t="n"/>
      <c r="J19" s="175" t="n"/>
    </row>
    <row r="20" ht="14.25" customFormat="1" customHeight="1" s="12">
      <c r="A20" s="238" t="n">
        <v>3</v>
      </c>
      <c r="B20" s="165" t="inlineStr">
        <is>
          <t>91.06.09-001</t>
        </is>
      </c>
      <c r="C20" s="237" t="inlineStr">
        <is>
          <t>Вышки телескопические 25 м</t>
        </is>
      </c>
      <c r="D20" s="238" t="inlineStr">
        <is>
          <t>маш.час</t>
        </is>
      </c>
      <c r="E20" s="313" t="n">
        <v>9.84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38" t="n"/>
      <c r="B21" s="238" t="n"/>
      <c r="C21" s="237" t="inlineStr">
        <is>
          <t>Итого основные машины и механизмы</t>
        </is>
      </c>
      <c r="D21" s="238" t="n"/>
      <c r="E21" s="312" t="n"/>
      <c r="F21" s="32" t="n"/>
      <c r="G21" s="32">
        <f>SUM(G20:G20)</f>
        <v/>
      </c>
      <c r="H21" s="241">
        <f>G21/G25</f>
        <v/>
      </c>
      <c r="I21" s="129" t="n"/>
      <c r="J21" s="32">
        <f>SUM(J20:J20)</f>
        <v/>
      </c>
    </row>
    <row r="22" outlineLevel="1" ht="25.5" customFormat="1" customHeight="1" s="12">
      <c r="A22" s="238" t="n">
        <v>4</v>
      </c>
      <c r="B22" s="165" t="inlineStr">
        <is>
          <t>91.05.05-015</t>
        </is>
      </c>
      <c r="C22" s="237" t="inlineStr">
        <is>
          <t>Краны на автомобильном ходу, грузоподъемность 16 т</t>
        </is>
      </c>
      <c r="D22" s="238" t="inlineStr">
        <is>
          <t>маш.час</t>
        </is>
      </c>
      <c r="E22" s="313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38" t="n">
        <v>5</v>
      </c>
      <c r="B23" s="165" t="inlineStr">
        <is>
          <t>91.14.02-001</t>
        </is>
      </c>
      <c r="C23" s="237" t="inlineStr">
        <is>
          <t>Автомобили бортовые, грузоподъемность до 5 т</t>
        </is>
      </c>
      <c r="D23" s="238" t="inlineStr">
        <is>
          <t>маш.час</t>
        </is>
      </c>
      <c r="E23" s="313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8" t="n"/>
      <c r="B24" s="238" t="n"/>
      <c r="C24" s="237" t="inlineStr">
        <is>
          <t>Итого прочие машины и механизмы</t>
        </is>
      </c>
      <c r="D24" s="238" t="n"/>
      <c r="E24" s="239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38" t="n"/>
      <c r="B25" s="238" t="n"/>
      <c r="C25" s="236" t="inlineStr">
        <is>
          <t>Итого по разделу «Машины и механизмы»</t>
        </is>
      </c>
      <c r="D25" s="238" t="n"/>
      <c r="E25" s="239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38" t="n"/>
      <c r="B26" s="236" t="inlineStr">
        <is>
          <t>Оборудование</t>
        </is>
      </c>
      <c r="C26" s="302" t="n"/>
      <c r="D26" s="302" t="n"/>
      <c r="E26" s="302" t="n"/>
      <c r="F26" s="302" t="n"/>
      <c r="G26" s="302" t="n"/>
      <c r="H26" s="303" t="n"/>
      <c r="I26" s="175" t="n"/>
      <c r="J26" s="175" t="n"/>
    </row>
    <row r="27">
      <c r="A27" s="238" t="n"/>
      <c r="B27" s="237" t="inlineStr">
        <is>
          <t>Основное оборудование</t>
        </is>
      </c>
      <c r="C27" s="302" t="n"/>
      <c r="D27" s="302" t="n"/>
      <c r="E27" s="302" t="n"/>
      <c r="F27" s="302" t="n"/>
      <c r="G27" s="302" t="n"/>
      <c r="H27" s="303" t="n"/>
      <c r="I27" s="175" t="n"/>
      <c r="J27" s="175" t="n"/>
    </row>
    <row r="28">
      <c r="A28" s="238" t="n"/>
      <c r="B28" s="238" t="n"/>
      <c r="C28" s="237" t="inlineStr">
        <is>
          <t>Итого основное оборудование</t>
        </is>
      </c>
      <c r="D28" s="238" t="n"/>
      <c r="E28" s="313" t="n"/>
      <c r="F28" s="240" t="n"/>
      <c r="G28" s="32" t="n">
        <v>0</v>
      </c>
      <c r="H28" s="125" t="n">
        <v>0</v>
      </c>
      <c r="I28" s="129" t="n"/>
      <c r="J28" s="32" t="n">
        <v>0</v>
      </c>
    </row>
    <row r="29">
      <c r="A29" s="238" t="n"/>
      <c r="B29" s="238" t="n"/>
      <c r="C29" s="237" t="inlineStr">
        <is>
          <t>Итого прочее оборудование</t>
        </is>
      </c>
      <c r="D29" s="238" t="n"/>
      <c r="E29" s="312" t="n"/>
      <c r="F29" s="240" t="n"/>
      <c r="G29" s="32" t="n">
        <v>0</v>
      </c>
      <c r="H29" s="125" t="n">
        <v>0</v>
      </c>
      <c r="I29" s="129" t="n"/>
      <c r="J29" s="32" t="n">
        <v>0</v>
      </c>
    </row>
    <row r="30">
      <c r="A30" s="238" t="n"/>
      <c r="B30" s="238" t="n"/>
      <c r="C30" s="236" t="inlineStr">
        <is>
          <t>Итого по разделу «Оборудование»</t>
        </is>
      </c>
      <c r="D30" s="238" t="n"/>
      <c r="E30" s="239" t="n"/>
      <c r="F30" s="240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38" t="n"/>
      <c r="B31" s="238" t="n"/>
      <c r="C31" s="237" t="inlineStr">
        <is>
          <t>в том числе технологическое оборудование</t>
        </is>
      </c>
      <c r="D31" s="238" t="n"/>
      <c r="E31" s="313" t="n"/>
      <c r="F31" s="240" t="n"/>
      <c r="G31" s="32">
        <f>'Прил.6 Расчет ОБ'!G12</f>
        <v/>
      </c>
      <c r="H31" s="241" t="n"/>
      <c r="I31" s="129" t="n"/>
      <c r="J31" s="32">
        <f>J30</f>
        <v/>
      </c>
    </row>
    <row r="32" ht="14.25" customFormat="1" customHeight="1" s="12">
      <c r="A32" s="238" t="n"/>
      <c r="B32" s="236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75" t="n"/>
      <c r="J32" s="175" t="n"/>
    </row>
    <row r="33" ht="14.25" customFormat="1" customHeight="1" s="12">
      <c r="A33" s="232" t="n"/>
      <c r="B33" s="231" t="inlineStr">
        <is>
          <t>Основные материалы</t>
        </is>
      </c>
      <c r="C33" s="314" t="n"/>
      <c r="D33" s="314" t="n"/>
      <c r="E33" s="314" t="n"/>
      <c r="F33" s="314" t="n"/>
      <c r="G33" s="314" t="n"/>
      <c r="H33" s="315" t="n"/>
      <c r="I33" s="176" t="n"/>
      <c r="J33" s="176" t="n"/>
    </row>
    <row r="34" ht="14.25" customFormat="1" customHeight="1" s="12">
      <c r="A34" s="238" t="n">
        <v>6</v>
      </c>
      <c r="B34" s="171" t="inlineStr">
        <is>
          <t>20.2.09.08-0026</t>
        </is>
      </c>
      <c r="C34" s="237" t="inlineStr">
        <is>
          <t>Муфта концевая 6 кВ сечением 120 мм2</t>
        </is>
      </c>
      <c r="D34" s="238" t="inlineStr">
        <is>
          <t>шт</t>
        </is>
      </c>
      <c r="E34" s="313" t="n">
        <v>2</v>
      </c>
      <c r="F34" s="240" t="n">
        <v>435.94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49" t="n"/>
      <c r="B35" s="136" t="n"/>
      <c r="C35" s="167" t="inlineStr">
        <is>
          <t>Итого основные материалы</t>
        </is>
      </c>
      <c r="D35" s="249" t="n"/>
      <c r="E35" s="316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38" t="n">
        <v>7</v>
      </c>
      <c r="B36" s="165" t="inlineStr">
        <is>
          <t>01.3.01.01-0001</t>
        </is>
      </c>
      <c r="C36" s="237" t="inlineStr">
        <is>
          <t>Бензин авиационный Б-70</t>
        </is>
      </c>
      <c r="D36" s="238" t="inlineStr">
        <is>
          <t>т</t>
        </is>
      </c>
      <c r="E36" s="313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38" t="n">
        <v>8</v>
      </c>
      <c r="B37" s="165" t="inlineStr">
        <is>
          <t>01.7.06.07-0002</t>
        </is>
      </c>
      <c r="C37" s="237" t="inlineStr">
        <is>
          <t>Лента монтажная, тип ЛМ-5</t>
        </is>
      </c>
      <c r="D37" s="238" t="inlineStr">
        <is>
          <t>10 м</t>
        </is>
      </c>
      <c r="E37" s="313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38" t="n">
        <v>9</v>
      </c>
      <c r="B38" s="165" t="inlineStr">
        <is>
          <t>01.3.01.05-0009</t>
        </is>
      </c>
      <c r="C38" s="237" t="inlineStr">
        <is>
          <t>Парафин нефтяной твердый Т-1</t>
        </is>
      </c>
      <c r="D38" s="238" t="inlineStr">
        <is>
          <t>т</t>
        </is>
      </c>
      <c r="E38" s="313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9" t="n"/>
      <c r="B39" s="249" t="n"/>
      <c r="C39" s="167" t="inlineStr">
        <is>
          <t>Итого прочие материалы</t>
        </is>
      </c>
      <c r="D39" s="249" t="n"/>
      <c r="E39" s="316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38" t="n"/>
      <c r="B40" s="238" t="n"/>
      <c r="C40" s="236" t="inlineStr">
        <is>
          <t>Итого по разделу «Материалы»</t>
        </is>
      </c>
      <c r="D40" s="238" t="n"/>
      <c r="E40" s="239" t="n"/>
      <c r="F40" s="240" t="n"/>
      <c r="G40" s="32">
        <f>G35+G39</f>
        <v/>
      </c>
      <c r="H40" s="241">
        <f>G40/$G$40</f>
        <v/>
      </c>
      <c r="I40" s="32" t="n"/>
      <c r="J40" s="32">
        <f>J35+J39</f>
        <v/>
      </c>
    </row>
    <row r="41" ht="14.25" customFormat="1" customHeight="1" s="12">
      <c r="A41" s="238" t="n"/>
      <c r="B41" s="238" t="n"/>
      <c r="C41" s="237" t="inlineStr">
        <is>
          <t>ИТОГО ПО РМ</t>
        </is>
      </c>
      <c r="D41" s="238" t="n"/>
      <c r="E41" s="239" t="n"/>
      <c r="F41" s="240" t="n"/>
      <c r="G41" s="32">
        <f>G15+G25+G40</f>
        <v/>
      </c>
      <c r="H41" s="241" t="n"/>
      <c r="I41" s="32" t="n"/>
      <c r="J41" s="32">
        <f>J15+J25+J40</f>
        <v/>
      </c>
    </row>
    <row r="42" ht="14.25" customFormat="1" customHeight="1" s="12">
      <c r="A42" s="238" t="n"/>
      <c r="B42" s="238" t="n"/>
      <c r="C42" s="237" t="inlineStr">
        <is>
          <t>Накладные расходы</t>
        </is>
      </c>
      <c r="D42" s="130">
        <f>ROUND(G42/(G$17+$G$15),2)</f>
        <v/>
      </c>
      <c r="E42" s="239" t="n"/>
      <c r="F42" s="240" t="n"/>
      <c r="G42" s="32" t="n">
        <v>240.42</v>
      </c>
      <c r="H42" s="241" t="n"/>
      <c r="I42" s="32" t="n"/>
      <c r="J42" s="32">
        <f>ROUND(D42*(J15+J17),2)</f>
        <v/>
      </c>
    </row>
    <row r="43" ht="14.25" customFormat="1" customHeight="1" s="12">
      <c r="A43" s="238" t="n"/>
      <c r="B43" s="238" t="n"/>
      <c r="C43" s="237" t="inlineStr">
        <is>
          <t>Сметная прибыль</t>
        </is>
      </c>
      <c r="D43" s="130">
        <f>ROUND(G43/(G$15+G$17),2)</f>
        <v/>
      </c>
      <c r="E43" s="239" t="n"/>
      <c r="F43" s="240" t="n"/>
      <c r="G43" s="32" t="n">
        <v>126.41</v>
      </c>
      <c r="H43" s="241" t="n"/>
      <c r="I43" s="32" t="n"/>
      <c r="J43" s="32">
        <f>ROUND(D43*(J15+J17),2)</f>
        <v/>
      </c>
    </row>
    <row r="44" ht="14.25" customFormat="1" customHeight="1" s="12">
      <c r="A44" s="238" t="n"/>
      <c r="B44" s="238" t="n"/>
      <c r="C44" s="237" t="inlineStr">
        <is>
          <t>Итого СМР (с НР и СП)</t>
        </is>
      </c>
      <c r="D44" s="238" t="n"/>
      <c r="E44" s="239" t="n"/>
      <c r="F44" s="240" t="n"/>
      <c r="G44" s="32">
        <f>G15+G25+G40+G42+G43</f>
        <v/>
      </c>
      <c r="H44" s="241" t="n"/>
      <c r="I44" s="32" t="n"/>
      <c r="J44" s="32">
        <f>J15+J25+J40+J42+J43</f>
        <v/>
      </c>
    </row>
    <row r="45" ht="14.25" customFormat="1" customHeight="1" s="12">
      <c r="A45" s="238" t="n"/>
      <c r="B45" s="238" t="n"/>
      <c r="C45" s="237" t="inlineStr">
        <is>
          <t>ВСЕГО СМР + ОБОРУДОВАНИЕ</t>
        </is>
      </c>
      <c r="D45" s="238" t="n"/>
      <c r="E45" s="239" t="n"/>
      <c r="F45" s="240" t="n"/>
      <c r="G45" s="32">
        <f>G44+G30</f>
        <v/>
      </c>
      <c r="H45" s="241" t="n"/>
      <c r="I45" s="32" t="n"/>
      <c r="J45" s="32">
        <f>J44+J30</f>
        <v/>
      </c>
    </row>
    <row r="46" ht="34.5" customFormat="1" customHeight="1" s="12">
      <c r="A46" s="238" t="n"/>
      <c r="B46" s="238" t="n"/>
      <c r="C46" s="237" t="inlineStr">
        <is>
          <t>ИТОГО ПОКАЗАТЕЛЬ НА ЕД. ИЗМ.</t>
        </is>
      </c>
      <c r="D46" s="238" t="inlineStr">
        <is>
          <t>1 ед</t>
        </is>
      </c>
      <c r="E46" s="313" t="n">
        <v>1</v>
      </c>
      <c r="F46" s="240" t="n"/>
      <c r="G46" s="32">
        <f>G45/E46</f>
        <v/>
      </c>
      <c r="H46" s="241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0" t="inlineStr">
        <is>
          <t>Приложение №6</t>
        </is>
      </c>
    </row>
    <row r="2" ht="21.75" customHeight="1">
      <c r="A2" s="250" t="n"/>
      <c r="B2" s="250" t="n"/>
      <c r="C2" s="250" t="n"/>
      <c r="D2" s="250" t="n"/>
      <c r="E2" s="250" t="n"/>
      <c r="F2" s="250" t="n"/>
      <c r="G2" s="250" t="n"/>
    </row>
    <row r="3">
      <c r="A3" s="207" t="inlineStr">
        <is>
          <t>Расчет стоимости оборудования</t>
        </is>
      </c>
    </row>
    <row r="4">
      <c r="A4" s="251" t="inlineStr">
        <is>
          <t>Наименование разрабатываемого показателя УНЦ —Муфта концевая 6 кВ сечением 120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37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>
      <c r="A10" s="238" t="n"/>
      <c r="B10" s="236" t="n"/>
      <c r="C10" s="237" t="inlineStr">
        <is>
          <t>ИТОГО ИНЖЕНЕРНОЕ ОБОРУДОВАНИЕ</t>
        </is>
      </c>
      <c r="D10" s="236" t="n"/>
      <c r="E10" s="105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25.5" customHeight="1">
      <c r="A12" s="238" t="n"/>
      <c r="B12" s="237" t="n"/>
      <c r="C12" s="237" t="inlineStr">
        <is>
          <t>ИТОГО ТЕХНОЛОГИЧЕСКОЕ ОБОРУДОВАНИЕ</t>
        </is>
      </c>
      <c r="D12" s="237" t="n"/>
      <c r="E12" s="255" t="n"/>
      <c r="F12" s="240" t="n"/>
      <c r="G12" s="32" t="n">
        <v>0</v>
      </c>
    </row>
    <row r="13" ht="19.5" customHeight="1">
      <c r="A13" s="238" t="n"/>
      <c r="B13" s="237" t="n"/>
      <c r="C13" s="237" t="inlineStr">
        <is>
          <t>Всего по разделу «Оборудование»</t>
        </is>
      </c>
      <c r="D13" s="237" t="n"/>
      <c r="E13" s="255" t="n"/>
      <c r="F13" s="240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>
      <c r="A9" s="305" t="n"/>
      <c r="B9" s="305" t="n"/>
      <c r="C9" s="305" t="n"/>
      <c r="D9" s="305" t="n"/>
    </row>
    <row r="10" ht="15.75" customHeight="1">
      <c r="A10" s="223" t="n">
        <v>1</v>
      </c>
      <c r="B10" s="223" t="n">
        <v>2</v>
      </c>
      <c r="C10" s="223" t="n">
        <v>3</v>
      </c>
      <c r="D10" s="223" t="n">
        <v>4</v>
      </c>
    </row>
    <row r="11" ht="31.5" customHeight="1">
      <c r="A11" s="223" t="inlineStr">
        <is>
          <t>К2-05-1</t>
        </is>
      </c>
      <c r="B11" s="223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.85546875" customWidth="1" min="3" max="3"/>
    <col width="32" customWidth="1" min="4" max="4"/>
  </cols>
  <sheetData>
    <row r="4" ht="15.75" customHeight="1">
      <c r="B4" s="217" t="inlineStr">
        <is>
          <t>Приложение № 10</t>
        </is>
      </c>
    </row>
    <row r="5" ht="18.75" customHeight="1">
      <c r="B5" s="117" t="n"/>
    </row>
    <row r="6" ht="15.75" customHeight="1">
      <c r="B6" s="218" t="inlineStr">
        <is>
          <t>Используемые индексы изменений сметной стоимости и нормы сопутствующих затрат</t>
        </is>
      </c>
    </row>
    <row r="7">
      <c r="B7" s="258" t="n"/>
    </row>
    <row r="8">
      <c r="B8" s="258" t="n"/>
      <c r="C8" s="258" t="n"/>
      <c r="D8" s="258" t="n"/>
      <c r="E8" s="258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31.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31.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10.84</v>
      </c>
    </row>
    <row r="13" ht="31.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5.34</v>
      </c>
    </row>
    <row r="14" ht="31.5" customHeight="1">
      <c r="B14" s="223" t="inlineStr">
        <is>
          <t>Индекс изменения сметной стоимости на 1 квартал 2023 года. ОБ</t>
        </is>
      </c>
      <c r="C14" s="223" t="inlineStr">
        <is>
          <t>Письмо Минстроя России от 23.02.2023г. №9791-ИФ/09 прил.6</t>
        </is>
      </c>
      <c r="D14" s="223" t="n">
        <v>6.26</v>
      </c>
    </row>
    <row r="15" ht="78.75" customHeight="1">
      <c r="B15" s="223" t="inlineStr">
        <is>
          <t>Временные здания и сооружения</t>
        </is>
      </c>
      <c r="C15" s="22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3" t="inlineStr">
        <is>
          <t>Пусконаладочные работы*</t>
        </is>
      </c>
      <c r="C17" s="223" t="n"/>
      <c r="D17" s="223" t="inlineStr">
        <is>
          <t>Расчет</t>
        </is>
      </c>
    </row>
    <row r="18" ht="31.5" customHeight="1">
      <c r="B18" s="223" t="inlineStr">
        <is>
          <t>Строительный контроль</t>
        </is>
      </c>
      <c r="C18" s="22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3" t="inlineStr">
        <is>
          <t>Авторский надзор - 0,2%</t>
        </is>
      </c>
      <c r="C19" s="223" t="inlineStr">
        <is>
          <t>Приказ от 4.08.2020 № 421/пр п.173</t>
        </is>
      </c>
      <c r="D19" s="120" t="n">
        <v>0.002</v>
      </c>
    </row>
    <row r="20" ht="15.75" customHeight="1">
      <c r="B20" s="223" t="inlineStr">
        <is>
          <t>Непредвиденные расходы</t>
        </is>
      </c>
      <c r="C20" s="22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198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1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0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1" t="inlineStr">
        <is>
          <t>№ пп.</t>
        </is>
      </c>
      <c r="B5" s="191" t="inlineStr">
        <is>
          <t>Наименование элемента</t>
        </is>
      </c>
      <c r="C5" s="191" t="inlineStr">
        <is>
          <t>Обозначение</t>
        </is>
      </c>
      <c r="D5" s="191" t="inlineStr">
        <is>
          <t>Формула</t>
        </is>
      </c>
      <c r="E5" s="191" t="inlineStr">
        <is>
          <t>Величина элемента</t>
        </is>
      </c>
      <c r="F5" s="191" t="inlineStr">
        <is>
          <t>Наименования обосновывающих документов</t>
        </is>
      </c>
      <c r="G5" s="138" t="n"/>
    </row>
    <row r="6" ht="15.75" customHeight="1">
      <c r="A6" s="191" t="n">
        <v>1</v>
      </c>
      <c r="B6" s="191" t="n">
        <v>2</v>
      </c>
      <c r="C6" s="191" t="n">
        <v>3</v>
      </c>
      <c r="D6" s="191" t="n">
        <v>4</v>
      </c>
      <c r="E6" s="191" t="n">
        <v>5</v>
      </c>
      <c r="F6" s="191" t="n">
        <v>6</v>
      </c>
      <c r="G6" s="138" t="n"/>
    </row>
    <row r="7" ht="110.25" customHeight="1">
      <c r="A7" s="192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2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73">
        <f>1973/12</f>
        <v/>
      </c>
      <c r="F8" s="193" t="inlineStr">
        <is>
          <t>Производственный календарь 2023 год
(40-часов.неделя)</t>
        </is>
      </c>
      <c r="G8" s="194" t="n"/>
    </row>
    <row r="9" ht="15.75" customHeight="1">
      <c r="A9" s="192" t="inlineStr">
        <is>
          <t>1.3</t>
        </is>
      </c>
      <c r="B9" s="193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73" t="n">
        <v>1</v>
      </c>
      <c r="F9" s="193" t="n"/>
      <c r="G9" s="194" t="n"/>
    </row>
    <row r="10" ht="15.75" customHeight="1">
      <c r="A10" s="192" t="inlineStr">
        <is>
          <t>1.4</t>
        </is>
      </c>
      <c r="B10" s="193" t="inlineStr">
        <is>
          <t>Средний разряд работ</t>
        </is>
      </c>
      <c r="C10" s="223" t="n"/>
      <c r="D10" s="223" t="n"/>
      <c r="E10" s="317" t="n">
        <v>3.8</v>
      </c>
      <c r="F10" s="193" t="inlineStr">
        <is>
          <t>РТМ</t>
        </is>
      </c>
      <c r="G10" s="194" t="n"/>
    </row>
    <row r="11" ht="78.75" customHeight="1">
      <c r="A11" s="192" t="inlineStr">
        <is>
          <t>1.5</t>
        </is>
      </c>
      <c r="B11" s="193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318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19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2025-01-24T12:05:14Z</dcterms:modified>
  <cp:lastModifiedBy>112</cp:lastModifiedBy>
  <cp:lastPrinted>2023-12-01T06:35:30Z</cp:lastPrinted>
</cp:coreProperties>
</file>