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4" t="n"/>
      <c r="C6" s="164" t="n"/>
      <c r="D6" s="164" t="n"/>
    </row>
    <row r="7">
      <c r="B7" s="220" t="inlineStr">
        <is>
          <t>Наименование разрабатываемого показателя УНЦ - Муфта концевая 20 кВ сечением 120 мм2</t>
        </is>
      </c>
    </row>
    <row r="8">
      <c r="B8" s="220" t="inlineStr">
        <is>
          <t>Сопоставимый уровень цен: 3 квартал 2011 года</t>
        </is>
      </c>
    </row>
    <row r="9" ht="15.75" customHeight="1">
      <c r="B9" s="220" t="inlineStr">
        <is>
          <t>Единица измерения  — 1 ед</t>
        </is>
      </c>
    </row>
    <row r="10">
      <c r="B10" s="220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52" t="n"/>
    </row>
    <row r="12" ht="31.5" customHeight="1">
      <c r="B12" s="235" t="n">
        <v>1</v>
      </c>
      <c r="C12" s="240" t="inlineStr">
        <is>
          <t>Наименование объекта-представителя</t>
        </is>
      </c>
      <c r="D12" s="235" t="inlineStr">
        <is>
          <t>Комплексная реконструкция и техническое перевооружение ПС №20 Чесменская СПб</t>
        </is>
      </c>
    </row>
    <row r="13">
      <c r="B13" s="235" t="n">
        <v>2</v>
      </c>
      <c r="C13" s="240" t="inlineStr">
        <is>
          <t>Наименование субъекта Российской Федерации</t>
        </is>
      </c>
      <c r="D13" s="235" t="inlineStr">
        <is>
          <t>Ленинградская область</t>
        </is>
      </c>
    </row>
    <row r="14">
      <c r="B14" s="235" t="n">
        <v>3</v>
      </c>
      <c r="C14" s="240" t="inlineStr">
        <is>
          <t>Климатический район и подрайон</t>
        </is>
      </c>
      <c r="D14" s="235" t="inlineStr">
        <is>
          <t>IIВ</t>
        </is>
      </c>
    </row>
    <row r="15">
      <c r="B15" s="235" t="n">
        <v>4</v>
      </c>
      <c r="C15" s="240" t="inlineStr">
        <is>
          <t>Мощность объекта</t>
        </is>
      </c>
      <c r="D15" s="235" t="n">
        <v>1</v>
      </c>
    </row>
    <row r="16" ht="63" customHeight="1">
      <c r="B16" s="23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 xml:space="preserve">Муфта концевая 20 кВ сечением 120 мм2 </t>
        </is>
      </c>
    </row>
    <row r="17" ht="63" customHeight="1">
      <c r="B17" s="23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8">
        <f>SUM(D18:D21)</f>
        <v/>
      </c>
      <c r="E17" s="163" t="n"/>
    </row>
    <row r="18">
      <c r="B18" s="151" t="inlineStr">
        <is>
          <t>6.1</t>
        </is>
      </c>
      <c r="C18" s="240" t="inlineStr">
        <is>
          <t>строительно-монтажные работы</t>
        </is>
      </c>
      <c r="D18" s="178" t="n">
        <v>15.55</v>
      </c>
    </row>
    <row r="19" ht="15.75" customHeight="1">
      <c r="B19" s="151" t="inlineStr">
        <is>
          <t>6.2</t>
        </is>
      </c>
      <c r="C19" s="240" t="inlineStr">
        <is>
          <t>оборудование и инвентарь</t>
        </is>
      </c>
      <c r="D19" s="178" t="n">
        <v>0</v>
      </c>
    </row>
    <row r="20" ht="16.5" customHeight="1">
      <c r="B20" s="151" t="inlineStr">
        <is>
          <t>6.3</t>
        </is>
      </c>
      <c r="C20" s="240" t="inlineStr">
        <is>
          <t>пусконаладочные работы</t>
        </is>
      </c>
      <c r="D20" s="178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78">
        <f>D18*2.5%+(D18+D18*2.5%)*2.9%</f>
        <v/>
      </c>
    </row>
    <row r="22">
      <c r="B22" s="235" t="n">
        <v>7</v>
      </c>
      <c r="C22" s="150" t="inlineStr">
        <is>
          <t>Сопоставимый уровень цен</t>
        </is>
      </c>
      <c r="D22" s="190" t="inlineStr">
        <is>
          <t xml:space="preserve">3 квартал 2011 года </t>
        </is>
      </c>
      <c r="E22" s="148" t="n"/>
    </row>
    <row r="23" ht="78.75" customHeight="1">
      <c r="B23" s="23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8">
        <f>D17</f>
        <v/>
      </c>
      <c r="E23" s="163" t="n"/>
    </row>
    <row r="24" ht="31.5" customHeight="1">
      <c r="B24" s="23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8">
        <f>D23/D15</f>
        <v/>
      </c>
      <c r="E24" s="148" t="n"/>
    </row>
    <row r="25">
      <c r="B25" s="235" t="n">
        <v>10</v>
      </c>
      <c r="C25" s="240" t="inlineStr">
        <is>
          <t>Примечание</t>
        </is>
      </c>
      <c r="D25" s="235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18" t="inlineStr">
        <is>
          <t>Приложение № 2</t>
        </is>
      </c>
      <c r="K3" s="144" t="n"/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>
      <c r="B8" s="118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3 кв. 2011 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>
      <c r="B12" s="235" t="n">
        <v>1</v>
      </c>
      <c r="C12" s="235" t="inlineStr">
        <is>
          <t xml:space="preserve">Муфта концевая 20 кВ сечением 120 мм2 </t>
        </is>
      </c>
      <c r="D12" s="151" t="inlineStr">
        <is>
          <t>02-17-01</t>
        </is>
      </c>
      <c r="E12" s="235" t="inlineStr">
        <is>
          <t>Заходы КЛ-35 кВ</t>
        </is>
      </c>
      <c r="F12" s="178" t="n"/>
      <c r="G12" s="178">
        <f>15554.3448/1000</f>
        <v/>
      </c>
      <c r="H12" s="178" t="n"/>
      <c r="I12" s="178" t="n"/>
      <c r="J12" s="178">
        <f>SUM(F12:I12)</f>
        <v/>
      </c>
    </row>
    <row r="13" ht="15" customHeight="1">
      <c r="B13" s="317" t="inlineStr">
        <is>
          <t>Всего по объекту:</t>
        </is>
      </c>
      <c r="C13" s="318" t="n"/>
      <c r="D13" s="318" t="n"/>
      <c r="E13" s="319" t="n"/>
      <c r="F13" s="188" t="n"/>
      <c r="G13" s="188">
        <f>SUM(G12)</f>
        <v/>
      </c>
      <c r="H13" s="188" t="n"/>
      <c r="I13" s="188" t="n"/>
      <c r="J13" s="188">
        <f>SUM(J12)</f>
        <v/>
      </c>
    </row>
    <row r="14" ht="15.75" customHeight="1">
      <c r="B14" s="320" t="inlineStr">
        <is>
          <t>Всего по объекту в сопоставимом уровне цен 3 кв. 2011 г:</t>
        </is>
      </c>
      <c r="C14" s="313" t="n"/>
      <c r="D14" s="313" t="n"/>
      <c r="E14" s="314" t="n"/>
      <c r="F14" s="189" t="n"/>
      <c r="G14" s="189">
        <f>G13</f>
        <v/>
      </c>
      <c r="H14" s="189" t="n"/>
      <c r="I14" s="189" t="n"/>
      <c r="J14" s="189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tabSelected="1"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>
      <c r="A4" s="168" t="n"/>
      <c r="B4" s="168" t="n"/>
      <c r="C4" s="236" t="n"/>
    </row>
    <row r="5">
      <c r="A5" s="220" t="n"/>
    </row>
    <row r="6">
      <c r="A6" s="234" t="inlineStr">
        <is>
          <t>Наименование разрабатываемого показателя УНЦ -  Муфта концевая 20 кВ сечением 120 мм2</t>
        </is>
      </c>
    </row>
    <row r="7">
      <c r="A7" s="154" t="n"/>
      <c r="B7" s="154" t="n"/>
      <c r="C7" s="154" t="n"/>
      <c r="D7" s="154" t="n"/>
      <c r="E7" s="154" t="n"/>
      <c r="F7" s="154" t="n"/>
      <c r="G7" s="154" t="n"/>
      <c r="H7" s="154" t="n"/>
    </row>
    <row r="8" ht="38.25" customHeight="1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4" t="n"/>
    </row>
    <row r="9" ht="40.7" customHeight="1">
      <c r="A9" s="316" t="n"/>
      <c r="B9" s="316" t="n"/>
      <c r="C9" s="316" t="n"/>
      <c r="D9" s="316" t="n"/>
      <c r="E9" s="316" t="n"/>
      <c r="F9" s="316" t="n"/>
      <c r="G9" s="235" t="inlineStr">
        <is>
          <t>на ед.изм.</t>
        </is>
      </c>
      <c r="H9" s="235" t="inlineStr">
        <is>
          <t>общая</t>
        </is>
      </c>
    </row>
    <row r="10">
      <c r="A10" s="228" t="n">
        <v>1</v>
      </c>
      <c r="B10" s="228" t="n"/>
      <c r="C10" s="228" t="n">
        <v>2</v>
      </c>
      <c r="D10" s="228" t="inlineStr">
        <is>
          <t>З</t>
        </is>
      </c>
      <c r="E10" s="228" t="n">
        <v>4</v>
      </c>
      <c r="F10" s="228" t="n">
        <v>5</v>
      </c>
      <c r="G10" s="228" t="n">
        <v>6</v>
      </c>
      <c r="H10" s="228" t="n">
        <v>7</v>
      </c>
    </row>
    <row r="11" customFormat="1" s="155">
      <c r="A11" s="238" t="inlineStr">
        <is>
          <t>Затраты труда рабочих</t>
        </is>
      </c>
      <c r="B11" s="313" t="n"/>
      <c r="C11" s="313" t="n"/>
      <c r="D11" s="313" t="n"/>
      <c r="E11" s="314" t="n"/>
      <c r="F11" s="321">
        <f>SUM(F12:F12)</f>
        <v/>
      </c>
      <c r="G11" s="10" t="n"/>
      <c r="H11" s="322">
        <f>SUM(H12:H12)</f>
        <v/>
      </c>
    </row>
    <row r="12">
      <c r="A12" s="249" t="n">
        <v>1</v>
      </c>
      <c r="B12" s="179" t="n"/>
      <c r="C12" s="135" t="inlineStr">
        <is>
          <t>1-4-0</t>
        </is>
      </c>
      <c r="D12" s="248" t="inlineStr">
        <is>
          <t>Затраты труда рабочих (средний разряд работы 4,0)</t>
        </is>
      </c>
      <c r="E12" s="249" t="inlineStr">
        <is>
          <t>чел.-ч</t>
        </is>
      </c>
      <c r="F12" s="249" t="n">
        <v>27.04</v>
      </c>
      <c r="G12" s="323" t="n">
        <v>9.619999999999999</v>
      </c>
      <c r="H12" s="127">
        <f>ROUND(F12*G12,2)</f>
        <v/>
      </c>
      <c r="M12" s="324" t="n"/>
    </row>
    <row r="13">
      <c r="A13" s="237" t="inlineStr">
        <is>
          <t>Затраты труда машинистов</t>
        </is>
      </c>
      <c r="B13" s="313" t="n"/>
      <c r="C13" s="313" t="n"/>
      <c r="D13" s="313" t="n"/>
      <c r="E13" s="314" t="n"/>
      <c r="F13" s="238" t="n"/>
      <c r="G13" s="182" t="n"/>
      <c r="H13" s="322">
        <f>H14</f>
        <v/>
      </c>
    </row>
    <row r="14">
      <c r="A14" s="249" t="n">
        <v>2</v>
      </c>
      <c r="B14" s="239" t="n"/>
      <c r="C14" s="135" t="n">
        <v>2</v>
      </c>
      <c r="D14" s="248" t="inlineStr">
        <is>
          <t>Затраты труда машинистов</t>
        </is>
      </c>
      <c r="E14" s="249" t="inlineStr">
        <is>
          <t>чел.-ч</t>
        </is>
      </c>
      <c r="F14" s="249" t="n">
        <v>0.48</v>
      </c>
      <c r="G14" s="32" t="n"/>
      <c r="H14" s="184" t="n">
        <v>6.03</v>
      </c>
    </row>
    <row r="15" customFormat="1" s="155">
      <c r="A15" s="238" t="inlineStr">
        <is>
          <t>Машины и механизмы</t>
        </is>
      </c>
      <c r="B15" s="313" t="n"/>
      <c r="C15" s="313" t="n"/>
      <c r="D15" s="313" t="n"/>
      <c r="E15" s="314" t="n"/>
      <c r="F15" s="238" t="n"/>
      <c r="G15" s="182" t="n"/>
      <c r="H15" s="322">
        <f>SUM(H16:H17)</f>
        <v/>
      </c>
    </row>
    <row r="16" ht="25.5" customHeight="1">
      <c r="A16" s="249" t="n">
        <v>3</v>
      </c>
      <c r="B16" s="239" t="n"/>
      <c r="C16" s="135" t="inlineStr">
        <is>
          <t>91.05.05-015</t>
        </is>
      </c>
      <c r="D16" s="248" t="inlineStr">
        <is>
          <t>Краны на автомобильном ходу, грузоподъемность 16 т</t>
        </is>
      </c>
      <c r="E16" s="249" t="inlineStr">
        <is>
          <t>маш.час</t>
        </is>
      </c>
      <c r="F16" s="249" t="n">
        <v>0.16</v>
      </c>
      <c r="G16" s="251" t="n">
        <v>115.4</v>
      </c>
      <c r="H16" s="127">
        <f>ROUND(F16*G16,2)</f>
        <v/>
      </c>
      <c r="I16" s="166" t="n"/>
      <c r="J16" s="166" t="n"/>
      <c r="L16" s="166" t="n"/>
    </row>
    <row r="17" customFormat="1" s="155">
      <c r="A17" s="249" t="n">
        <v>4</v>
      </c>
      <c r="B17" s="239" t="n"/>
      <c r="C17" s="135" t="inlineStr">
        <is>
          <t>91.14.02-001</t>
        </is>
      </c>
      <c r="D17" s="248" t="inlineStr">
        <is>
          <t>Автомобили бортовые, грузоподъемность: до 5 т</t>
        </is>
      </c>
      <c r="E17" s="249" t="inlineStr">
        <is>
          <t>маш.час</t>
        </is>
      </c>
      <c r="F17" s="249" t="n">
        <v>0.16</v>
      </c>
      <c r="G17" s="251" t="n">
        <v>65.70999999999999</v>
      </c>
      <c r="H17" s="127">
        <f>ROUND(F17*G17,2)</f>
        <v/>
      </c>
      <c r="I17" s="166" t="n"/>
      <c r="J17" s="166" t="n"/>
      <c r="K17" s="174" t="n"/>
      <c r="L17" s="166" t="n"/>
    </row>
    <row r="18">
      <c r="A18" s="238" t="inlineStr">
        <is>
          <t>Материалы</t>
        </is>
      </c>
      <c r="B18" s="313" t="n"/>
      <c r="C18" s="313" t="n"/>
      <c r="D18" s="313" t="n"/>
      <c r="E18" s="314" t="n"/>
      <c r="F18" s="238" t="n"/>
      <c r="G18" s="182" t="n"/>
      <c r="H18" s="322">
        <f>SUM(H19:H27)</f>
        <v/>
      </c>
    </row>
    <row r="19">
      <c r="A19" s="7" t="n">
        <v>5</v>
      </c>
      <c r="B19" s="7" t="n"/>
      <c r="C19" s="249" t="inlineStr">
        <is>
          <t>Прайс из СД ОП</t>
        </is>
      </c>
      <c r="D19" s="25" t="inlineStr">
        <is>
          <t xml:space="preserve">Муфта концевая 20 кВ сечением 120 мм2 </t>
        </is>
      </c>
      <c r="E19" s="249" t="inlineStr">
        <is>
          <t>шт</t>
        </is>
      </c>
      <c r="F19" s="249" t="n">
        <v>6</v>
      </c>
      <c r="G19" s="158" t="n">
        <v>340.67</v>
      </c>
      <c r="H19" s="127">
        <f>ROUND(F19*G19,2)</f>
        <v/>
      </c>
    </row>
    <row r="20" ht="25.5" customHeight="1">
      <c r="A20" s="185" t="n">
        <v>6</v>
      </c>
      <c r="B20" s="239" t="n"/>
      <c r="C20" s="135" t="inlineStr">
        <is>
          <t>10.3.02.03-0011</t>
        </is>
      </c>
      <c r="D20" s="248" t="inlineStr">
        <is>
          <t>Припои оловянно-свинцовые бессурьмянистые, марка ПОС30</t>
        </is>
      </c>
      <c r="E20" s="249" t="inlineStr">
        <is>
          <t>т</t>
        </is>
      </c>
      <c r="F20" s="249" t="n">
        <v>0.0048</v>
      </c>
      <c r="G20" s="32" t="n">
        <v>68050</v>
      </c>
      <c r="H20" s="127">
        <f>ROUND(F20*G20,2)</f>
        <v/>
      </c>
      <c r="I20" s="162" t="n"/>
      <c r="J20" s="166" t="n"/>
      <c r="K20" s="166" t="n"/>
    </row>
    <row r="21">
      <c r="A21" s="7" t="n">
        <v>7</v>
      </c>
      <c r="B21" s="239" t="n"/>
      <c r="C21" s="135" t="inlineStr">
        <is>
          <t>01.1.02.01-0003</t>
        </is>
      </c>
      <c r="D21" s="248" t="inlineStr">
        <is>
          <t>Асботекстолит, марка Г</t>
        </is>
      </c>
      <c r="E21" s="249" t="inlineStr">
        <is>
          <t>т</t>
        </is>
      </c>
      <c r="F21" s="249" t="n">
        <v>0.0005</v>
      </c>
      <c r="G21" s="32" t="n">
        <v>161000</v>
      </c>
      <c r="H21" s="127">
        <f>ROUND(F21*G21,2)</f>
        <v/>
      </c>
      <c r="I21" s="162" t="n"/>
      <c r="J21" s="166" t="n"/>
      <c r="K21" s="166" t="n"/>
    </row>
    <row r="22">
      <c r="A22" s="185" t="n">
        <v>8</v>
      </c>
      <c r="B22" s="239" t="n"/>
      <c r="C22" s="135" t="inlineStr">
        <is>
          <t>01.3.02.09-0022</t>
        </is>
      </c>
      <c r="D22" s="248" t="inlineStr">
        <is>
          <t>Пропан-бутан смесь техническая</t>
        </is>
      </c>
      <c r="E22" s="249" t="inlineStr">
        <is>
          <t>кг</t>
        </is>
      </c>
      <c r="F22" s="249" t="n">
        <v>10</v>
      </c>
      <c r="G22" s="32" t="n">
        <v>6.09</v>
      </c>
      <c r="H22" s="127">
        <f>ROUND(F22*G22,2)</f>
        <v/>
      </c>
      <c r="I22" s="162" t="n"/>
      <c r="J22" s="166" t="n"/>
      <c r="K22" s="166" t="n"/>
    </row>
    <row r="23" ht="25.5" customHeight="1">
      <c r="A23" s="7" t="n">
        <v>9</v>
      </c>
      <c r="B23" s="239" t="n"/>
      <c r="C23" s="135" t="inlineStr">
        <is>
          <t>10.2.02.08-0001</t>
        </is>
      </c>
      <c r="D23" s="248" t="inlineStr">
        <is>
          <t>Проволока медная, круглая, мягкая, электротехническая, диаметр 1,0-3,0 мм и выше</t>
        </is>
      </c>
      <c r="E23" s="249" t="inlineStr">
        <is>
          <t>т</t>
        </is>
      </c>
      <c r="F23" s="249" t="n">
        <v>0.0014</v>
      </c>
      <c r="G23" s="32" t="n">
        <v>37517</v>
      </c>
      <c r="H23" s="127">
        <f>ROUND(F23*G23,2)</f>
        <v/>
      </c>
      <c r="I23" s="162" t="n"/>
      <c r="J23" s="166" t="n"/>
      <c r="K23" s="166" t="n"/>
    </row>
    <row r="24">
      <c r="A24" s="185" t="n">
        <v>10</v>
      </c>
      <c r="B24" s="239" t="n"/>
      <c r="C24" s="135" t="inlineStr">
        <is>
          <t>14.4.02.09-0001</t>
        </is>
      </c>
      <c r="D24" s="248" t="inlineStr">
        <is>
          <t>Краска</t>
        </is>
      </c>
      <c r="E24" s="249" t="inlineStr">
        <is>
          <t>кг</t>
        </is>
      </c>
      <c r="F24" s="249" t="n">
        <v>0.8</v>
      </c>
      <c r="G24" s="32" t="n">
        <v>28.6</v>
      </c>
      <c r="H24" s="127">
        <f>ROUND(F24*G24,2)</f>
        <v/>
      </c>
      <c r="I24" s="162" t="n"/>
      <c r="J24" s="166" t="n"/>
      <c r="K24" s="166" t="n"/>
    </row>
    <row r="25">
      <c r="A25" s="7" t="n">
        <v>11</v>
      </c>
      <c r="B25" s="239" t="n"/>
      <c r="C25" s="135" t="inlineStr">
        <is>
          <t>20.1.02.06-0001</t>
        </is>
      </c>
      <c r="D25" s="248" t="inlineStr">
        <is>
          <t>Жир паяльный</t>
        </is>
      </c>
      <c r="E25" s="249" t="inlineStr">
        <is>
          <t>кг</t>
        </is>
      </c>
      <c r="F25" s="249" t="n">
        <v>0.12</v>
      </c>
      <c r="G25" s="32" t="n">
        <v>100.8</v>
      </c>
      <c r="H25" s="32">
        <f>ROUND(F25*G25,2)</f>
        <v/>
      </c>
      <c r="I25" s="162" t="n"/>
      <c r="J25" s="166" t="n"/>
      <c r="K25" s="166" t="n"/>
    </row>
    <row r="26">
      <c r="A26" s="185" t="n">
        <v>12</v>
      </c>
      <c r="B26" s="239" t="n"/>
      <c r="C26" s="135" t="inlineStr">
        <is>
          <t>01.3.01.05-0009</t>
        </is>
      </c>
      <c r="D26" s="248" t="inlineStr">
        <is>
          <t>Парафины нефтяные твердые марки Т-1</t>
        </is>
      </c>
      <c r="E26" s="249" t="inlineStr">
        <is>
          <t>т</t>
        </is>
      </c>
      <c r="F26" s="249" t="n">
        <v>0.0007</v>
      </c>
      <c r="G26" s="32" t="n">
        <v>8105.71</v>
      </c>
      <c r="H26" s="32">
        <f>ROUND(F26*G26,2)</f>
        <v/>
      </c>
      <c r="I26" s="162" t="n"/>
      <c r="J26" s="166" t="n"/>
      <c r="K26" s="166" t="n"/>
    </row>
    <row r="27">
      <c r="A27" s="185" t="n">
        <v>13</v>
      </c>
      <c r="B27" s="239" t="n"/>
      <c r="C27" s="135" t="inlineStr">
        <is>
          <t>01.7.20.08-0031</t>
        </is>
      </c>
      <c r="D27" s="248" t="inlineStr">
        <is>
          <t>Бязь суровая</t>
        </is>
      </c>
      <c r="E27" s="249" t="inlineStr">
        <is>
          <t>10 м2</t>
        </is>
      </c>
      <c r="F27" s="249" t="n">
        <v>0.02</v>
      </c>
      <c r="G27" s="32" t="n">
        <v>79.09999999999999</v>
      </c>
      <c r="H27" s="32">
        <f>ROUND(F27*G27,2)</f>
        <v/>
      </c>
      <c r="I27" s="162" t="n"/>
      <c r="J27" s="166" t="n"/>
      <c r="K27" s="166" t="n"/>
    </row>
    <row r="29">
      <c r="B29" s="143" t="inlineStr">
        <is>
          <t>Составил ______________________     А.Р. Маркова</t>
        </is>
      </c>
    </row>
    <row r="30">
      <c r="B30" s="144" t="inlineStr">
        <is>
          <t xml:space="preserve">                         (подпись, инициалы, фамилия)</t>
        </is>
      </c>
    </row>
    <row r="32">
      <c r="B32" s="143" t="inlineStr">
        <is>
          <t>Проверил ______________________        А.В. Костянецкая</t>
        </is>
      </c>
    </row>
    <row r="33">
      <c r="B33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8" t="inlineStr">
        <is>
          <t>Ресурсная модель</t>
        </is>
      </c>
    </row>
    <row r="6">
      <c r="B6" s="161" t="n"/>
      <c r="C6" s="4" t="n"/>
      <c r="D6" s="4" t="n"/>
      <c r="E6" s="4" t="n"/>
    </row>
    <row r="7">
      <c r="B7" s="217" t="inlineStr">
        <is>
          <t>Наименование разрабатываемого показателя УНЦ — Муфта концевая 20 кВ сечением 120 мм2</t>
        </is>
      </c>
    </row>
    <row r="8">
      <c r="B8" s="241" t="inlineStr">
        <is>
          <t>Единица измерения  — 1 ед</t>
        </is>
      </c>
    </row>
    <row r="9">
      <c r="B9" s="161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ОБ'!J43</f>
        <v/>
      </c>
      <c r="D17" s="27">
        <f>C17/$C$24</f>
        <v/>
      </c>
      <c r="E17" s="27">
        <f>C17/$C$40</f>
        <v/>
      </c>
      <c r="G17" s="325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17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6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7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ОБ'!E50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8" zoomScale="8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8" t="inlineStr">
        <is>
          <t>Расчет стоимости СМР и оборудования</t>
        </is>
      </c>
    </row>
    <row r="5" ht="12.75" customFormat="1" customHeight="1" s="4">
      <c r="A5" s="208" t="n"/>
      <c r="B5" s="208" t="n"/>
      <c r="C5" s="270" t="n"/>
      <c r="D5" s="208" t="n"/>
      <c r="E5" s="208" t="n"/>
      <c r="F5" s="208" t="n"/>
      <c r="G5" s="208" t="n"/>
      <c r="H5" s="208" t="n"/>
      <c r="I5" s="208" t="n"/>
      <c r="J5" s="20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11" t="inlineStr">
        <is>
          <t xml:space="preserve">Муфта концевая 20 кВ сечением 120 мм2 </t>
        </is>
      </c>
    </row>
    <row r="7" ht="12.75" customFormat="1" customHeight="1" s="4">
      <c r="A7" s="211" t="inlineStr">
        <is>
          <t>Единица измерения  — 1 ед</t>
        </is>
      </c>
      <c r="I7" s="217" t="n"/>
      <c r="J7" s="217" t="n"/>
    </row>
    <row r="8" ht="13.7" customFormat="1" customHeight="1" s="4">
      <c r="A8" s="211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4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9" t="inlineStr">
        <is>
          <t>на ед. изм.</t>
        </is>
      </c>
      <c r="G11" s="249" t="inlineStr">
        <is>
          <t>общая</t>
        </is>
      </c>
      <c r="H11" s="316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43" t="n">
        <v>9</v>
      </c>
      <c r="J12" s="243" t="n">
        <v>10</v>
      </c>
      <c r="M12" s="12" t="n"/>
      <c r="N12" s="12" t="n"/>
    </row>
    <row r="13">
      <c r="A13" s="249" t="n"/>
      <c r="B13" s="247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25" t="n"/>
      <c r="J13" s="125" t="n"/>
    </row>
    <row r="14" ht="25.5" customHeight="1">
      <c r="A14" s="249" t="n">
        <v>1</v>
      </c>
      <c r="B14" s="135" t="inlineStr">
        <is>
          <t>1-4-0</t>
        </is>
      </c>
      <c r="C14" s="248" t="inlineStr">
        <is>
          <t>Затраты труда рабочих-строителей среднего разряда (4,0)</t>
        </is>
      </c>
      <c r="D14" s="249" t="inlineStr">
        <is>
          <t>чел.-ч.</t>
        </is>
      </c>
      <c r="E14" s="326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47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6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9" t="n"/>
      <c r="B16" s="248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25" t="n"/>
      <c r="J16" s="125" t="n"/>
    </row>
    <row r="17" ht="14.25" customFormat="1" customHeight="1" s="12">
      <c r="A17" s="249" t="n">
        <v>2</v>
      </c>
      <c r="B17" s="249" t="n">
        <v>2</v>
      </c>
      <c r="C17" s="248" t="inlineStr">
        <is>
          <t>Затраты труда машинистов</t>
        </is>
      </c>
      <c r="D17" s="249" t="inlineStr">
        <is>
          <t>чел.-ч.</t>
        </is>
      </c>
      <c r="E17" s="326" t="n">
        <v>0.48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47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25" t="n"/>
      <c r="J18" s="125" t="n"/>
    </row>
    <row r="19" ht="14.25" customFormat="1" customHeight="1" s="12">
      <c r="A19" s="249" t="n"/>
      <c r="B19" s="248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25" t="n"/>
      <c r="J19" s="125" t="n"/>
    </row>
    <row r="20" ht="25.5" customFormat="1" customHeight="1" s="12">
      <c r="A20" s="249" t="n">
        <v>3</v>
      </c>
      <c r="B20" s="135" t="inlineStr">
        <is>
          <t>91.05.05-015</t>
        </is>
      </c>
      <c r="C20" s="248" t="inlineStr">
        <is>
          <t>Краны на автомобильном ходу, грузоподъемность 16 т</t>
        </is>
      </c>
      <c r="D20" s="249" t="inlineStr">
        <is>
          <t>маш.час</t>
        </is>
      </c>
      <c r="E20" s="327" t="n">
        <v>0.16</v>
      </c>
      <c r="F20" s="251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9" t="n">
        <v>4</v>
      </c>
      <c r="B21" s="135" t="inlineStr">
        <is>
          <t>91.14.02-001</t>
        </is>
      </c>
      <c r="C21" s="248" t="inlineStr">
        <is>
          <t>Автомобили бортовые, грузоподъемность: до 5 т</t>
        </is>
      </c>
      <c r="D21" s="249" t="inlineStr">
        <is>
          <t>маш.час</t>
        </is>
      </c>
      <c r="E21" s="327" t="n">
        <v>0.16</v>
      </c>
      <c r="F21" s="251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9" t="n"/>
      <c r="B22" s="249" t="n"/>
      <c r="C22" s="248" t="inlineStr">
        <is>
          <t>Итого основные машины и механизмы</t>
        </is>
      </c>
      <c r="D22" s="249" t="n"/>
      <c r="E22" s="326" t="n"/>
      <c r="F22" s="32" t="n"/>
      <c r="G22" s="32">
        <f>SUM(G20:G21)</f>
        <v/>
      </c>
      <c r="H22" s="252">
        <f>G22/G24</f>
        <v/>
      </c>
      <c r="I22" s="127" t="n"/>
      <c r="J22" s="32">
        <f>SUM(J20:J21)</f>
        <v/>
      </c>
    </row>
    <row r="23" ht="14.25" customFormat="1" customHeight="1" s="12">
      <c r="A23" s="249" t="n"/>
      <c r="B23" s="249" t="n"/>
      <c r="C23" s="248" t="inlineStr">
        <is>
          <t>Итого прочие машины и механизмы</t>
        </is>
      </c>
      <c r="D23" s="249" t="n"/>
      <c r="E23" s="250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9" t="n"/>
      <c r="B24" s="249" t="n"/>
      <c r="C24" s="247" t="inlineStr">
        <is>
          <t>Итого по разделу «Машины и механизмы»</t>
        </is>
      </c>
      <c r="D24" s="249" t="n"/>
      <c r="E24" s="250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9" t="n"/>
      <c r="B25" s="247" t="inlineStr">
        <is>
          <t>Оборудование</t>
        </is>
      </c>
      <c r="C25" s="313" t="n"/>
      <c r="D25" s="313" t="n"/>
      <c r="E25" s="313" t="n"/>
      <c r="F25" s="313" t="n"/>
      <c r="G25" s="313" t="n"/>
      <c r="H25" s="314" t="n"/>
      <c r="I25" s="125" t="n"/>
      <c r="J25" s="125" t="n"/>
    </row>
    <row r="26">
      <c r="A26" s="249" t="n"/>
      <c r="B26" s="248" t="inlineStr">
        <is>
          <t>Основное оборудование</t>
        </is>
      </c>
      <c r="C26" s="313" t="n"/>
      <c r="D26" s="313" t="n"/>
      <c r="E26" s="313" t="n"/>
      <c r="F26" s="313" t="n"/>
      <c r="G26" s="313" t="n"/>
      <c r="H26" s="314" t="n"/>
      <c r="I26" s="125" t="n"/>
      <c r="J26" s="125" t="n"/>
    </row>
    <row r="27">
      <c r="A27" s="249" t="n"/>
      <c r="B27" s="249" t="n"/>
      <c r="C27" s="248" t="inlineStr">
        <is>
          <t>Итого основное оборудование</t>
        </is>
      </c>
      <c r="D27" s="249" t="n"/>
      <c r="E27" s="327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9" t="n"/>
      <c r="B28" s="249" t="n"/>
      <c r="C28" s="248" t="inlineStr">
        <is>
          <t>Итого прочее оборудование</t>
        </is>
      </c>
      <c r="D28" s="249" t="n"/>
      <c r="E28" s="326" t="n"/>
      <c r="F28" s="251" t="n"/>
      <c r="G28" s="32" t="n">
        <v>0</v>
      </c>
      <c r="H28" s="128" t="n">
        <v>0</v>
      </c>
      <c r="I28" s="127" t="n"/>
      <c r="J28" s="32" t="n">
        <v>0</v>
      </c>
    </row>
    <row r="29">
      <c r="A29" s="249" t="n"/>
      <c r="B29" s="249" t="n"/>
      <c r="C29" s="247" t="inlineStr">
        <is>
          <t>Итого по разделу «Оборудование»</t>
        </is>
      </c>
      <c r="D29" s="249" t="n"/>
      <c r="E29" s="250" t="n"/>
      <c r="F29" s="251" t="n"/>
      <c r="G29" s="32">
        <f>G27+G28</f>
        <v/>
      </c>
      <c r="H29" s="128" t="n">
        <v>0</v>
      </c>
      <c r="I29" s="127" t="n"/>
      <c r="J29" s="32">
        <f>J28+J27</f>
        <v/>
      </c>
    </row>
    <row r="30" ht="25.5" customHeight="1">
      <c r="A30" s="249" t="n"/>
      <c r="B30" s="249" t="n"/>
      <c r="C30" s="248" t="inlineStr">
        <is>
          <t>в том числе технологическое оборудование</t>
        </is>
      </c>
      <c r="D30" s="249" t="n"/>
      <c r="E30" s="327" t="n"/>
      <c r="F30" s="251" t="n"/>
      <c r="G30" s="32">
        <f>'Прил.6 Расчет ОБ'!G12</f>
        <v/>
      </c>
      <c r="H30" s="252" t="n"/>
      <c r="I30" s="127" t="n"/>
      <c r="J30" s="32">
        <f>J29</f>
        <v/>
      </c>
    </row>
    <row r="31" ht="14.25" customFormat="1" customHeight="1" s="12">
      <c r="A31" s="249" t="n"/>
      <c r="B31" s="247" t="inlineStr">
        <is>
          <t>Материалы</t>
        </is>
      </c>
      <c r="C31" s="313" t="n"/>
      <c r="D31" s="313" t="n"/>
      <c r="E31" s="313" t="n"/>
      <c r="F31" s="313" t="n"/>
      <c r="G31" s="313" t="n"/>
      <c r="H31" s="314" t="n"/>
      <c r="I31" s="125" t="n"/>
      <c r="J31" s="125" t="n"/>
    </row>
    <row r="32" ht="14.25" customFormat="1" customHeight="1" s="12">
      <c r="A32" s="243" t="n"/>
      <c r="B32" s="242" t="inlineStr">
        <is>
          <t>Основные материалы</t>
        </is>
      </c>
      <c r="C32" s="328" t="n"/>
      <c r="D32" s="328" t="n"/>
      <c r="E32" s="328" t="n"/>
      <c r="F32" s="328" t="n"/>
      <c r="G32" s="328" t="n"/>
      <c r="H32" s="329" t="n"/>
      <c r="I32" s="138" t="n"/>
      <c r="J32" s="138" t="n"/>
    </row>
    <row r="33" ht="14.25" customFormat="1" customHeight="1" s="12">
      <c r="A33" s="249" t="n">
        <v>5</v>
      </c>
      <c r="B33" s="175" t="inlineStr">
        <is>
          <t>БЦ.91.54</t>
        </is>
      </c>
      <c r="C33" s="165" t="inlineStr">
        <is>
          <t xml:space="preserve">Муфта концевая 20 кВ сечением 120 мм2 </t>
        </is>
      </c>
      <c r="D33" s="249" t="inlineStr">
        <is>
          <t>шт</t>
        </is>
      </c>
      <c r="E33" s="327" t="n">
        <v>6</v>
      </c>
      <c r="F33" s="251">
        <f>ROUND(I33/'Прил. 10'!$D$13,2)</f>
        <v/>
      </c>
      <c r="G33" s="32">
        <f>ROUND(E33*F33,2)</f>
        <v/>
      </c>
      <c r="H33" s="128">
        <f>G33/$G$44</f>
        <v/>
      </c>
      <c r="I33" s="32" t="n">
        <v>1906.87</v>
      </c>
      <c r="J33" s="32">
        <f>ROUND(I33*E33,2)</f>
        <v/>
      </c>
    </row>
    <row r="34" ht="14.25" customFormat="1" customHeight="1" s="12">
      <c r="A34" s="260" t="n"/>
      <c r="B34" s="140" t="n"/>
      <c r="C34" s="141" t="inlineStr">
        <is>
          <t>Итого основные материалы</t>
        </is>
      </c>
      <c r="D34" s="260" t="n"/>
      <c r="E34" s="330" t="n"/>
      <c r="F34" s="131" t="n"/>
      <c r="G34" s="131">
        <f>SUM(G33:G33)</f>
        <v/>
      </c>
      <c r="H34" s="128">
        <f>G34/$G$44</f>
        <v/>
      </c>
      <c r="I34" s="32" t="n"/>
      <c r="J34" s="131">
        <f>SUM(J33:J33)</f>
        <v/>
      </c>
    </row>
    <row r="35" outlineLevel="1" ht="25.5" customFormat="1" customHeight="1" s="12">
      <c r="A35" s="249" t="n">
        <v>6</v>
      </c>
      <c r="B35" s="135" t="inlineStr">
        <is>
          <t>10.3.02.03-0011</t>
        </is>
      </c>
      <c r="C35" s="248" t="inlineStr">
        <is>
          <t>Припои оловянно-свинцовые бессурьмянистые, марка ПОС30</t>
        </is>
      </c>
      <c r="D35" s="249" t="inlineStr">
        <is>
          <t>т</t>
        </is>
      </c>
      <c r="E35" s="327" t="n">
        <v>0.0048</v>
      </c>
      <c r="F35" s="32" t="n">
        <v>68050</v>
      </c>
      <c r="G35" s="32">
        <f>ROUND(E35*F35,2)</f>
        <v/>
      </c>
      <c r="H35" s="128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9" t="n">
        <v>7</v>
      </c>
      <c r="B36" s="135" t="inlineStr">
        <is>
          <t>01.1.02.01-0003</t>
        </is>
      </c>
      <c r="C36" s="248" t="inlineStr">
        <is>
          <t>Асботекстолит, марка Г</t>
        </is>
      </c>
      <c r="D36" s="249" t="inlineStr">
        <is>
          <t>т</t>
        </is>
      </c>
      <c r="E36" s="327" t="n">
        <v>0.0005</v>
      </c>
      <c r="F36" s="32" t="n">
        <v>161000</v>
      </c>
      <c r="G36" s="32">
        <f>ROUND(E36*F36,2)</f>
        <v/>
      </c>
      <c r="H36" s="128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9" t="n">
        <v>8</v>
      </c>
      <c r="B37" s="135" t="inlineStr">
        <is>
          <t>01.3.02.09-0022</t>
        </is>
      </c>
      <c r="C37" s="248" t="inlineStr">
        <is>
          <t>Пропан-бутан смесь техническая</t>
        </is>
      </c>
      <c r="D37" s="249" t="inlineStr">
        <is>
          <t>кг</t>
        </is>
      </c>
      <c r="E37" s="327" t="n">
        <v>10</v>
      </c>
      <c r="F37" s="32" t="n">
        <v>6.09</v>
      </c>
      <c r="G37" s="32">
        <f>ROUND(E37*F37,2)</f>
        <v/>
      </c>
      <c r="H37" s="128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9" t="n">
        <v>9</v>
      </c>
      <c r="B38" s="135" t="inlineStr">
        <is>
          <t>10.2.02.08-0001</t>
        </is>
      </c>
      <c r="C38" s="248" t="inlineStr">
        <is>
          <t>Проволока медная, круглая, мягкая, электротехническая, диаметр 1,0-3,0 мм и выше</t>
        </is>
      </c>
      <c r="D38" s="249" t="inlineStr">
        <is>
          <t>т</t>
        </is>
      </c>
      <c r="E38" s="327" t="n">
        <v>0.0014</v>
      </c>
      <c r="F38" s="32" t="n">
        <v>37517</v>
      </c>
      <c r="G38" s="32">
        <f>ROUND(E38*F38,2)</f>
        <v/>
      </c>
      <c r="H38" s="128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9" t="n">
        <v>10</v>
      </c>
      <c r="B39" s="135" t="inlineStr">
        <is>
          <t>14.4.02.09-0001</t>
        </is>
      </c>
      <c r="C39" s="248" t="inlineStr">
        <is>
          <t>Краска</t>
        </is>
      </c>
      <c r="D39" s="249" t="inlineStr">
        <is>
          <t>кг</t>
        </is>
      </c>
      <c r="E39" s="327" t="n">
        <v>0.8</v>
      </c>
      <c r="F39" s="32" t="n">
        <v>28.6</v>
      </c>
      <c r="G39" s="32">
        <f>ROUND(E39*F39,2)</f>
        <v/>
      </c>
      <c r="H39" s="128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9" t="n">
        <v>11</v>
      </c>
      <c r="B40" s="135" t="inlineStr">
        <is>
          <t>20.1.02.06-0001</t>
        </is>
      </c>
      <c r="C40" s="248" t="inlineStr">
        <is>
          <t>Жир паяльный</t>
        </is>
      </c>
      <c r="D40" s="249" t="inlineStr">
        <is>
          <t>кг</t>
        </is>
      </c>
      <c r="E40" s="327" t="n">
        <v>0.12</v>
      </c>
      <c r="F40" s="32" t="n">
        <v>100.8</v>
      </c>
      <c r="G40" s="32">
        <f>ROUND(E40*F40,2)</f>
        <v/>
      </c>
      <c r="H40" s="128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9" t="n">
        <v>12</v>
      </c>
      <c r="B41" s="135" t="inlineStr">
        <is>
          <t>01.3.01.05-0009</t>
        </is>
      </c>
      <c r="C41" s="248" t="inlineStr">
        <is>
          <t>Парафины нефтяные твердые марки Т-1</t>
        </is>
      </c>
      <c r="D41" s="249" t="inlineStr">
        <is>
          <t>т</t>
        </is>
      </c>
      <c r="E41" s="327" t="n">
        <v>0.0007</v>
      </c>
      <c r="F41" s="32" t="n">
        <v>8105.71</v>
      </c>
      <c r="G41" s="32">
        <f>ROUND(E41*F41,2)</f>
        <v/>
      </c>
      <c r="H41" s="128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9" t="n">
        <v>13</v>
      </c>
      <c r="B42" s="135" t="inlineStr">
        <is>
          <t>01.7.20.08-0031</t>
        </is>
      </c>
      <c r="C42" s="248" t="inlineStr">
        <is>
          <t>Бязь суровая</t>
        </is>
      </c>
      <c r="D42" s="249" t="inlineStr">
        <is>
          <t>10 м2</t>
        </is>
      </c>
      <c r="E42" s="327" t="n">
        <v>0.02</v>
      </c>
      <c r="F42" s="32" t="n">
        <v>79.09999999999999</v>
      </c>
      <c r="G42" s="32">
        <f>ROUND(E42*F42,2)</f>
        <v/>
      </c>
      <c r="H42" s="128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60" t="n"/>
      <c r="B43" s="260" t="n"/>
      <c r="C43" s="141" t="inlineStr">
        <is>
          <t>Итого прочие материалы</t>
        </is>
      </c>
      <c r="D43" s="260" t="n"/>
      <c r="E43" s="330" t="n"/>
      <c r="F43" s="171" t="n"/>
      <c r="G43" s="131">
        <f>SUM(G35:G42)</f>
        <v/>
      </c>
      <c r="H43" s="128">
        <f>G43/$G$44</f>
        <v/>
      </c>
      <c r="I43" s="32" t="n"/>
      <c r="J43" s="32">
        <f>SUM(J35:J42)</f>
        <v/>
      </c>
    </row>
    <row r="44" ht="14.25" customFormat="1" customHeight="1" s="12">
      <c r="A44" s="249" t="n"/>
      <c r="B44" s="249" t="n"/>
      <c r="C44" s="247" t="inlineStr">
        <is>
          <t>Итого по разделу «Материалы»</t>
        </is>
      </c>
      <c r="D44" s="249" t="n"/>
      <c r="E44" s="250" t="n"/>
      <c r="F44" s="251" t="n"/>
      <c r="G44" s="32">
        <f>G34+G43</f>
        <v/>
      </c>
      <c r="H44" s="252">
        <f>G44/$G$44</f>
        <v/>
      </c>
      <c r="I44" s="32" t="n"/>
      <c r="J44" s="32">
        <f>J34+J43</f>
        <v/>
      </c>
    </row>
    <row r="45" ht="14.25" customFormat="1" customHeight="1" s="12">
      <c r="A45" s="249" t="n"/>
      <c r="B45" s="249" t="n"/>
      <c r="C45" s="248" t="inlineStr">
        <is>
          <t>ИТОГО ПО РМ</t>
        </is>
      </c>
      <c r="D45" s="249" t="n"/>
      <c r="E45" s="250" t="n"/>
      <c r="F45" s="251" t="n"/>
      <c r="G45" s="32">
        <f>G15+G24+G44</f>
        <v/>
      </c>
      <c r="H45" s="252" t="n"/>
      <c r="I45" s="32" t="n"/>
      <c r="J45" s="32">
        <f>J15+J24+J44</f>
        <v/>
      </c>
    </row>
    <row r="46" ht="14.25" customFormat="1" customHeight="1" s="12">
      <c r="A46" s="249" t="n"/>
      <c r="B46" s="249" t="n"/>
      <c r="C46" s="248" t="inlineStr">
        <is>
          <t>Накладные расходы</t>
        </is>
      </c>
      <c r="D46" s="133">
        <f>ROUND(G46/(G$17+$G$15),2)</f>
        <v/>
      </c>
      <c r="E46" s="250" t="n"/>
      <c r="F46" s="251" t="n"/>
      <c r="G46" s="32" t="n">
        <v>256.22</v>
      </c>
      <c r="H46" s="252" t="n"/>
      <c r="I46" s="32" t="n"/>
      <c r="J46" s="32">
        <f>ROUND(D46*(J15+J17),2)</f>
        <v/>
      </c>
    </row>
    <row r="47" ht="14.25" customFormat="1" customHeight="1" s="12">
      <c r="A47" s="249" t="n"/>
      <c r="B47" s="249" t="n"/>
      <c r="C47" s="248" t="inlineStr">
        <is>
          <t>Сметная прибыль</t>
        </is>
      </c>
      <c r="D47" s="133">
        <f>ROUND(G47/(G$15+G$17),2)</f>
        <v/>
      </c>
      <c r="E47" s="250" t="n"/>
      <c r="F47" s="251" t="n"/>
      <c r="G47" s="32" t="n">
        <v>134.71</v>
      </c>
      <c r="H47" s="252" t="n"/>
      <c r="I47" s="32" t="n"/>
      <c r="J47" s="32">
        <f>ROUND(D47*(J15+J17),2)</f>
        <v/>
      </c>
    </row>
    <row r="48" ht="14.25" customFormat="1" customHeight="1" s="12">
      <c r="A48" s="249" t="n"/>
      <c r="B48" s="249" t="n"/>
      <c r="C48" s="248" t="inlineStr">
        <is>
          <t>Итого СМР (с НР и СП)</t>
        </is>
      </c>
      <c r="D48" s="249" t="n"/>
      <c r="E48" s="250" t="n"/>
      <c r="F48" s="251" t="n"/>
      <c r="G48" s="32">
        <f>G15+G24+G44+G46+G47</f>
        <v/>
      </c>
      <c r="H48" s="252" t="n"/>
      <c r="I48" s="32" t="n"/>
      <c r="J48" s="32">
        <f>J15+J24+J44+J46+J47</f>
        <v/>
      </c>
    </row>
    <row r="49" ht="14.25" customFormat="1" customHeight="1" s="12">
      <c r="A49" s="249" t="n"/>
      <c r="B49" s="249" t="n"/>
      <c r="C49" s="248" t="inlineStr">
        <is>
          <t>ВСЕГО СМР + ОБОРУДОВАНИЕ</t>
        </is>
      </c>
      <c r="D49" s="249" t="n"/>
      <c r="E49" s="250" t="n"/>
      <c r="F49" s="251" t="n"/>
      <c r="G49" s="32">
        <f>G48+G29</f>
        <v/>
      </c>
      <c r="H49" s="252" t="n"/>
      <c r="I49" s="32" t="n"/>
      <c r="J49" s="32">
        <f>J48+J29</f>
        <v/>
      </c>
    </row>
    <row r="50" ht="34.5" customFormat="1" customHeight="1" s="12">
      <c r="A50" s="249" t="n"/>
      <c r="B50" s="249" t="n"/>
      <c r="C50" s="248" t="inlineStr">
        <is>
          <t>ИТОГО ПОКАЗАТЕЛЬ НА ЕД. ИЗМ.</t>
        </is>
      </c>
      <c r="D50" s="249" t="inlineStr">
        <is>
          <t>1 ед</t>
        </is>
      </c>
      <c r="E50" s="327" t="n">
        <v>1</v>
      </c>
      <c r="F50" s="251" t="n"/>
      <c r="G50" s="32">
        <f>G49/E50</f>
        <v/>
      </c>
      <c r="H50" s="252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topLeftCell="A4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1" t="inlineStr">
        <is>
          <t>Приложение №6</t>
        </is>
      </c>
    </row>
    <row r="2" ht="21.75" customHeight="1">
      <c r="A2" s="261" t="n"/>
      <c r="B2" s="261" t="n"/>
      <c r="C2" s="261" t="n"/>
      <c r="D2" s="261" t="n"/>
      <c r="E2" s="261" t="n"/>
      <c r="F2" s="261" t="n"/>
      <c r="G2" s="261" t="n"/>
    </row>
    <row r="3">
      <c r="A3" s="208" t="inlineStr">
        <is>
          <t>Расчет стоимости оборудования</t>
        </is>
      </c>
    </row>
    <row r="4">
      <c r="A4" s="262" t="inlineStr">
        <is>
          <t xml:space="preserve">Наименование разрабатываемого показателя УНЦ — Муфта концевая 20 кВ сечением 120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9" t="inlineStr">
        <is>
          <t>№ пп.</t>
        </is>
      </c>
      <c r="B6" s="249" t="inlineStr">
        <is>
          <t>Код ресурса</t>
        </is>
      </c>
      <c r="C6" s="249" t="inlineStr">
        <is>
          <t>Наименование</t>
        </is>
      </c>
      <c r="D6" s="249" t="inlineStr">
        <is>
          <t>Ед. изм.</t>
        </is>
      </c>
      <c r="E6" s="249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9" t="n"/>
      <c r="B10" s="247" t="n"/>
      <c r="C10" s="248" t="inlineStr">
        <is>
          <t>ИТОГО ИНЖЕНЕРНОЕ ОБОРУДОВАНИЕ</t>
        </is>
      </c>
      <c r="D10" s="247" t="n"/>
      <c r="E10" s="105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9" t="n"/>
      <c r="B12" s="248" t="n"/>
      <c r="C12" s="248" t="inlineStr">
        <is>
          <t>ИТОГО ТЕХНОЛОГИЧЕСКОЕ ОБОРУДОВАНИЕ</t>
        </is>
      </c>
      <c r="D12" s="248" t="n"/>
      <c r="E12" s="266" t="n"/>
      <c r="F12" s="251" t="n"/>
      <c r="G12" s="32" t="n">
        <v>0</v>
      </c>
    </row>
    <row r="13" ht="19.5" customHeight="1">
      <c r="A13" s="249" t="n"/>
      <c r="B13" s="248" t="n"/>
      <c r="C13" s="248" t="inlineStr">
        <is>
          <t>Всего по разделу «Оборудование»</t>
        </is>
      </c>
      <c r="D13" s="248" t="n"/>
      <c r="E13" s="266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5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5" t="n">
        <v>1</v>
      </c>
      <c r="B10" s="235" t="n">
        <v>2</v>
      </c>
      <c r="C10" s="235" t="n">
        <v>3</v>
      </c>
      <c r="D10" s="235" t="n">
        <v>4</v>
      </c>
    </row>
    <row r="11" ht="31.5" customHeight="1">
      <c r="A11" s="235" t="inlineStr">
        <is>
          <t>К2-05-3</t>
        </is>
      </c>
      <c r="B11" s="235" t="inlineStr">
        <is>
          <t xml:space="preserve">УНЦ КЛ 6 - 500 кВ (с медной жилой) </t>
        </is>
      </c>
      <c r="C11" s="178">
        <f>D5</f>
        <v/>
      </c>
      <c r="D11" s="17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18" t="inlineStr">
        <is>
          <t>Приложение № 10</t>
        </is>
      </c>
    </row>
    <row r="5" ht="18.75" customHeight="1">
      <c r="B5" s="117" t="n"/>
    </row>
    <row r="6" ht="15.75" customHeight="1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31.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31.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10.84</v>
      </c>
    </row>
    <row r="13" ht="31.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5.34</v>
      </c>
    </row>
    <row r="14" ht="31.5" customHeight="1">
      <c r="B14" s="235" t="inlineStr">
        <is>
          <t>Индекс изменения сметной стоимости на 1 квартал 2023 года. ОБ</t>
        </is>
      </c>
      <c r="C14" s="235" t="inlineStr">
        <is>
          <t>Письмо Минстроя России от 23.02.2023г. №9791-ИФ/09 прил.6</t>
        </is>
      </c>
      <c r="D14" s="235" t="n">
        <v>6.26</v>
      </c>
    </row>
    <row r="15" ht="78.75" customHeight="1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5" t="inlineStr">
        <is>
          <t>Пусконаладочные работы*</t>
        </is>
      </c>
      <c r="C17" s="235" t="n"/>
      <c r="D17" s="235" t="inlineStr">
        <is>
          <t>Расчет</t>
        </is>
      </c>
    </row>
    <row r="18" ht="31.5" customHeight="1">
      <c r="B18" s="235" t="inlineStr">
        <is>
          <t>Строительный контроль</t>
        </is>
      </c>
      <c r="C18" s="23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5" t="inlineStr">
        <is>
          <t>Авторский надзор - 0,2%</t>
        </is>
      </c>
      <c r="C19" s="235" t="inlineStr">
        <is>
          <t>Приказ от 4.08.2020 № 421/пр п.173</t>
        </is>
      </c>
      <c r="D19" s="120" t="n">
        <v>0.002</v>
      </c>
    </row>
    <row r="20" ht="15.75" customHeight="1">
      <c r="B20" s="235" t="inlineStr">
        <is>
          <t>Непредвиденные расходы</t>
        </is>
      </c>
      <c r="C20" s="23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9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3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43" t="n"/>
    </row>
    <row r="6" ht="15.75" customHeight="1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43" t="n"/>
    </row>
    <row r="7" ht="110.25" customHeight="1">
      <c r="A7" s="193" t="inlineStr">
        <is>
          <t>1.1</t>
        </is>
      </c>
      <c r="B7" s="1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61" t="n">
        <v>47872.94</v>
      </c>
      <c r="F7" s="1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3" t="inlineStr">
        <is>
          <t>1.2</t>
        </is>
      </c>
      <c r="B8" s="194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77">
        <f>1973/12</f>
        <v/>
      </c>
      <c r="F8" s="194" t="inlineStr">
        <is>
          <t>Производственный календарь 2023 год
(40-часов.неделя)</t>
        </is>
      </c>
      <c r="G8" s="195" t="n"/>
    </row>
    <row r="9" ht="15.75" customHeight="1">
      <c r="A9" s="193" t="inlineStr">
        <is>
          <t>1.3</t>
        </is>
      </c>
      <c r="B9" s="194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77" t="n">
        <v>1</v>
      </c>
      <c r="F9" s="194" t="n"/>
      <c r="G9" s="195" t="n"/>
    </row>
    <row r="10" ht="15.75" customHeight="1">
      <c r="A10" s="193" t="inlineStr">
        <is>
          <t>1.4</t>
        </is>
      </c>
      <c r="B10" s="194" t="inlineStr">
        <is>
          <t>Средний разряд работ</t>
        </is>
      </c>
      <c r="C10" s="235" t="n"/>
      <c r="D10" s="235" t="n"/>
      <c r="E10" s="331" t="n">
        <v>4</v>
      </c>
      <c r="F10" s="194" t="inlineStr">
        <is>
          <t>РТМ</t>
        </is>
      </c>
      <c r="G10" s="195" t="n"/>
    </row>
    <row r="11" ht="78.75" customHeight="1">
      <c r="A11" s="193" t="inlineStr">
        <is>
          <t>1.5</t>
        </is>
      </c>
      <c r="B11" s="194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32" t="n">
        <v>1.34</v>
      </c>
      <c r="F11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198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33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3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206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2025-01-24T12:05:17Z</dcterms:modified>
  <cp:lastModifiedBy>112</cp:lastModifiedBy>
</cp:coreProperties>
</file>