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01" min="1" max="2"/>
    <col width="51.7109375" customWidth="1" style="301" min="3" max="3"/>
    <col width="47" customWidth="1" style="301" min="4" max="4"/>
    <col width="37.42578125" customWidth="1" style="301" min="5" max="5"/>
    <col width="9.140625" customWidth="1" style="301" min="6" max="6"/>
  </cols>
  <sheetData>
    <row r="3">
      <c r="B3" s="331" t="inlineStr">
        <is>
          <t>Приложение № 1</t>
        </is>
      </c>
    </row>
    <row r="4">
      <c r="B4" s="332" t="inlineStr">
        <is>
          <t>Сравнительная таблица отбора объекта-представителя</t>
        </is>
      </c>
    </row>
    <row r="5" ht="84.2" customHeight="1" s="299">
      <c r="B5" s="3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9">
      <c r="B6" s="231" t="n"/>
      <c r="C6" s="231" t="n"/>
      <c r="D6" s="231" t="n"/>
    </row>
    <row r="7">
      <c r="B7" s="333" t="inlineStr">
        <is>
          <t>Наименование разрабатываемого показателя УНЦ - КЛ 6 кВ (с медной жилой) сечение жилы 150 мм2</t>
        </is>
      </c>
    </row>
    <row r="8" ht="15.75" customHeight="1" s="299">
      <c r="B8" s="333" t="inlineStr">
        <is>
          <t>Сопоставимый уровень цен: 2 квартал 2018 года</t>
        </is>
      </c>
    </row>
    <row r="9" ht="15.75" customHeight="1" s="299">
      <c r="B9" s="333" t="inlineStr">
        <is>
          <t>Единица измерения  — 1 км</t>
        </is>
      </c>
    </row>
    <row r="10">
      <c r="B10" s="333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12" t="n"/>
    </row>
    <row r="12" ht="96.75" customHeight="1" s="299">
      <c r="B12" s="351" t="n">
        <v>1</v>
      </c>
      <c r="C12" s="350" t="inlineStr">
        <is>
          <t>Наименование объекта-представителя</t>
        </is>
      </c>
      <c r="D12" s="35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1" t="n">
        <v>2</v>
      </c>
      <c r="C13" s="350" t="inlineStr">
        <is>
          <t>Наименование субъекта Российской Федерации</t>
        </is>
      </c>
      <c r="D13" s="351" t="inlineStr">
        <is>
          <t>Челябинская область</t>
        </is>
      </c>
    </row>
    <row r="14">
      <c r="B14" s="351" t="n">
        <v>3</v>
      </c>
      <c r="C14" s="350" t="inlineStr">
        <is>
          <t>Климатический район и подрайон</t>
        </is>
      </c>
      <c r="D14" s="351" t="inlineStr">
        <is>
          <t>IВ</t>
        </is>
      </c>
    </row>
    <row r="15">
      <c r="B15" s="351" t="n">
        <v>4</v>
      </c>
      <c r="C15" s="350" t="inlineStr">
        <is>
          <t>Мощность объекта</t>
        </is>
      </c>
      <c r="D15" s="351" t="n">
        <v>1</v>
      </c>
    </row>
    <row r="16" ht="63" customHeight="1" s="299">
      <c r="B16" s="35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Кабель медный 6 кВ 3х150 мм2</t>
        </is>
      </c>
    </row>
    <row r="17" ht="63" customHeight="1" s="299">
      <c r="B17" s="35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7">
        <f>SUM(D18:D21)</f>
        <v/>
      </c>
      <c r="E17" s="230" t="n"/>
    </row>
    <row r="18">
      <c r="B18" s="282" t="inlineStr">
        <is>
          <t>6.1</t>
        </is>
      </c>
      <c r="C18" s="350" t="inlineStr">
        <is>
          <t>строительно-монтажные работы</t>
        </is>
      </c>
      <c r="D18" s="287" t="n">
        <v>1173.59</v>
      </c>
    </row>
    <row r="19" ht="15.75" customHeight="1" s="299">
      <c r="B19" s="282" t="inlineStr">
        <is>
          <t>6.2</t>
        </is>
      </c>
      <c r="C19" s="350" t="inlineStr">
        <is>
          <t>оборудование и инвентарь</t>
        </is>
      </c>
      <c r="D19" s="287" t="n">
        <v>0</v>
      </c>
    </row>
    <row r="20" ht="16.5" customHeight="1" s="299">
      <c r="B20" s="282" t="inlineStr">
        <is>
          <t>6.3</t>
        </is>
      </c>
      <c r="C20" s="350" t="inlineStr">
        <is>
          <t>пусконаладочные работы</t>
        </is>
      </c>
      <c r="D20" s="287" t="n">
        <v>0</v>
      </c>
    </row>
    <row r="21">
      <c r="B21" s="282" t="inlineStr">
        <is>
          <t>6.4</t>
        </is>
      </c>
      <c r="C21" s="210" t="inlineStr">
        <is>
          <t>прочие и лимитированные затраты</t>
        </is>
      </c>
      <c r="D21" s="287">
        <f>D18*2.5%+(D18+D18*2.5%)*2.9%</f>
        <v/>
      </c>
    </row>
    <row r="22">
      <c r="B22" s="351" t="n">
        <v>7</v>
      </c>
      <c r="C22" s="210" t="inlineStr">
        <is>
          <t>Сопоставимый уровень цен</t>
        </is>
      </c>
      <c r="D22" s="280" t="inlineStr">
        <is>
          <t xml:space="preserve">2 квартал 2018 года </t>
        </is>
      </c>
      <c r="E22" s="208" t="n"/>
    </row>
    <row r="23" ht="78.75" customHeight="1" s="299">
      <c r="B23" s="351" t="n">
        <v>8</v>
      </c>
      <c r="C23" s="2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7">
        <f>D17</f>
        <v/>
      </c>
      <c r="E23" s="230" t="n"/>
    </row>
    <row r="24" ht="31.5" customHeight="1" s="299">
      <c r="B24" s="35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7">
        <f>D23/D15</f>
        <v/>
      </c>
      <c r="E24" s="208" t="n"/>
    </row>
    <row r="25">
      <c r="B25" s="351" t="n">
        <v>10</v>
      </c>
      <c r="C25" s="350" t="inlineStr">
        <is>
          <t>Примечание</t>
        </is>
      </c>
      <c r="D25" s="351" t="n"/>
    </row>
    <row r="26">
      <c r="B26" s="206" t="n"/>
      <c r="C26" s="205" t="n"/>
      <c r="D26" s="205" t="n"/>
    </row>
    <row r="27" ht="37.5" customHeight="1" s="299">
      <c r="B27" s="204" t="n"/>
    </row>
    <row r="28">
      <c r="B28" s="301" t="inlineStr">
        <is>
          <t>Составил ______________________    А.Р. Маркова</t>
        </is>
      </c>
    </row>
    <row r="29">
      <c r="B29" s="204" t="inlineStr">
        <is>
          <t xml:space="preserve">                         (подпись, инициалы, фамилия)</t>
        </is>
      </c>
    </row>
    <row r="31">
      <c r="B31" s="301" t="inlineStr">
        <is>
          <t>Проверил ______________________        А.В. Костянецкая</t>
        </is>
      </c>
    </row>
    <row r="32">
      <c r="B32" s="20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9" sqref="E19"/>
    </sheetView>
  </sheetViews>
  <sheetFormatPr baseColWidth="8" defaultColWidth="9.140625" defaultRowHeight="15.75"/>
  <cols>
    <col width="5.5703125" customWidth="1" style="301" min="1" max="1"/>
    <col width="9.140625" customWidth="1" style="301" min="2" max="2"/>
    <col width="35.28515625" customWidth="1" style="301" min="3" max="3"/>
    <col width="13.85546875" customWidth="1" style="301" min="4" max="4"/>
    <col width="24.85546875" customWidth="1" style="301" min="5" max="5"/>
    <col width="15.5703125" customWidth="1" style="301" min="6" max="6"/>
    <col width="14.85546875" customWidth="1" style="301" min="7" max="7"/>
    <col width="16.7109375" customWidth="1" style="301" min="8" max="8"/>
    <col width="13" customWidth="1" style="301" min="9" max="10"/>
    <col width="18" customWidth="1" style="301" min="11" max="11"/>
    <col width="9.140625" customWidth="1" style="301" min="12" max="12"/>
  </cols>
  <sheetData>
    <row r="3">
      <c r="B3" s="331" t="inlineStr">
        <is>
          <t>Приложение № 2</t>
        </is>
      </c>
      <c r="K3" s="204" t="n"/>
    </row>
    <row r="4">
      <c r="B4" s="332" t="inlineStr">
        <is>
          <t>Расчет стоимости основных видов работ для выбора объекта-представителя</t>
        </is>
      </c>
    </row>
    <row r="5">
      <c r="B5" s="352" t="n"/>
      <c r="C5" s="352" t="n"/>
      <c r="D5" s="352" t="n"/>
      <c r="E5" s="352" t="n"/>
      <c r="F5" s="352" t="n"/>
      <c r="G5" s="352" t="n"/>
      <c r="H5" s="352" t="n"/>
      <c r="I5" s="352" t="n"/>
      <c r="J5" s="352" t="n"/>
      <c r="K5" s="352" t="n"/>
    </row>
    <row r="6">
      <c r="B6" s="333">
        <f>'Прил.1 Сравнит табл'!B7:D7</f>
        <v/>
      </c>
    </row>
    <row r="7">
      <c r="B7" s="333">
        <f>'Прил.1 Сравнит табл'!B9:D9</f>
        <v/>
      </c>
    </row>
    <row r="8" ht="18.75" customHeight="1" s="299">
      <c r="B8" s="232" t="n"/>
    </row>
    <row r="9" ht="15.75" customHeight="1" s="299"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26" t="n"/>
      <c r="F9" s="426" t="n"/>
      <c r="G9" s="426" t="n"/>
      <c r="H9" s="426" t="n"/>
      <c r="I9" s="426" t="n"/>
      <c r="J9" s="427" t="n"/>
    </row>
    <row r="10" ht="15.75" customHeight="1" s="299">
      <c r="B10" s="428" t="n"/>
      <c r="C10" s="428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2 кв. 2018 г., тыс. руб.</t>
        </is>
      </c>
      <c r="G10" s="426" t="n"/>
      <c r="H10" s="426" t="n"/>
      <c r="I10" s="426" t="n"/>
      <c r="J10" s="427" t="n"/>
    </row>
    <row r="11" ht="31.5" customHeight="1" s="299">
      <c r="B11" s="429" t="n"/>
      <c r="C11" s="429" t="n"/>
      <c r="D11" s="429" t="n"/>
      <c r="E11" s="429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</row>
    <row r="12" ht="220.5" customHeight="1" s="299">
      <c r="B12" s="351" t="n">
        <v>1</v>
      </c>
      <c r="C12" s="351" t="inlineStr">
        <is>
          <t>Кабель медный 6 кВ 3х150 мм2</t>
        </is>
      </c>
      <c r="D12" s="282" t="inlineStr">
        <is>
          <t>02-01-05</t>
        </is>
      </c>
      <c r="E12" s="35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87" t="n"/>
      <c r="G12" s="287">
        <f>1173594.521/1000</f>
        <v/>
      </c>
      <c r="H12" s="287" t="n"/>
      <c r="I12" s="287" t="n"/>
      <c r="J12" s="287">
        <f>SUM(F12:I12)</f>
        <v/>
      </c>
    </row>
    <row r="13" ht="15" customHeight="1" s="299">
      <c r="B13" s="430" t="inlineStr">
        <is>
          <t>Всего по объекту:</t>
        </is>
      </c>
      <c r="C13" s="431" t="n"/>
      <c r="D13" s="431" t="n"/>
      <c r="E13" s="432" t="n"/>
      <c r="F13" s="285" t="n"/>
      <c r="G13" s="285">
        <f>SUM(G12)</f>
        <v/>
      </c>
      <c r="H13" s="285" t="n"/>
      <c r="I13" s="285" t="n"/>
      <c r="J13" s="285">
        <f>SUM(J12)</f>
        <v/>
      </c>
    </row>
    <row r="14" ht="15.75" customHeight="1" s="299">
      <c r="B14" s="433" t="inlineStr">
        <is>
          <t>Всего по объекту в сопоставимом уровне цен 2 кв. 2018 г:</t>
        </is>
      </c>
      <c r="C14" s="426" t="n"/>
      <c r="D14" s="426" t="n"/>
      <c r="E14" s="427" t="n"/>
      <c r="F14" s="286" t="n"/>
      <c r="G14" s="286">
        <f>G13</f>
        <v/>
      </c>
      <c r="H14" s="286" t="n"/>
      <c r="I14" s="286" t="n"/>
      <c r="J14" s="286">
        <f>J13</f>
        <v/>
      </c>
    </row>
    <row r="15" ht="15" customHeight="1" s="299"/>
    <row r="16" ht="15" customHeight="1" s="299"/>
    <row r="17" ht="15" customHeight="1" s="299"/>
    <row r="18" ht="15" customHeight="1" s="299">
      <c r="C18" s="275" t="inlineStr">
        <is>
          <t>Составил ______________________     А.Р. Маркова</t>
        </is>
      </c>
      <c r="D18" s="276" t="n"/>
      <c r="E18" s="276" t="n"/>
    </row>
    <row r="19" ht="15" customHeight="1" s="299">
      <c r="C19" s="278" t="inlineStr">
        <is>
          <t xml:space="preserve">                         (подпись, инициалы, фамилия)</t>
        </is>
      </c>
      <c r="D19" s="276" t="n"/>
      <c r="E19" s="276" t="n"/>
    </row>
    <row r="20" ht="15" customHeight="1" s="299">
      <c r="C20" s="275" t="n"/>
      <c r="D20" s="276" t="n"/>
      <c r="E20" s="276" t="n"/>
    </row>
    <row r="21" ht="15" customHeight="1" s="299">
      <c r="C21" s="275" t="inlineStr">
        <is>
          <t>Проверил ______________________        А.В. Костянецкая</t>
        </is>
      </c>
      <c r="D21" s="276" t="n"/>
      <c r="E21" s="276" t="n"/>
    </row>
    <row r="22" ht="15" customHeight="1" s="299">
      <c r="C22" s="278" t="inlineStr">
        <is>
          <t xml:space="preserve">                        (подпись, инициалы, фамилия)</t>
        </is>
      </c>
      <c r="D22" s="276" t="n"/>
      <c r="E22" s="276" t="n"/>
    </row>
    <row r="23" ht="15" customHeight="1" s="299"/>
    <row r="24" ht="15" customHeight="1" s="299"/>
    <row r="25" ht="15" customHeight="1" s="299"/>
    <row r="26" ht="15" customHeight="1" s="299"/>
    <row r="27" ht="15" customHeight="1" s="299"/>
    <row r="28" ht="15" customHeight="1" s="29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7" zoomScale="70" zoomScaleSheetLayoutView="70" workbookViewId="0">
      <selection activeCell="D31" sqref="D31"/>
    </sheetView>
  </sheetViews>
  <sheetFormatPr baseColWidth="8" defaultColWidth="9.140625" defaultRowHeight="15.75"/>
  <cols>
    <col width="9.140625" customWidth="1" style="301" min="1" max="1"/>
    <col width="12.5703125" customWidth="1" style="301" min="2" max="2"/>
    <col width="22.42578125" customWidth="1" style="301" min="3" max="3"/>
    <col width="49.7109375" customWidth="1" style="301" min="4" max="4"/>
    <col width="10.140625" customWidth="1" style="301" min="5" max="5"/>
    <col width="20.7109375" customWidth="1" style="301" min="6" max="6"/>
    <col width="20" customWidth="1" style="301" min="7" max="7"/>
    <col width="16.7109375" customWidth="1" style="301" min="8" max="8"/>
    <col width="9.140625" customWidth="1" style="301" min="9" max="10"/>
    <col width="15" customWidth="1" style="301" min="11" max="11"/>
    <col width="9.140625" customWidth="1" style="301" min="12" max="12"/>
  </cols>
  <sheetData>
    <row r="2" s="299">
      <c r="A2" s="301" t="n"/>
      <c r="B2" s="301" t="n"/>
      <c r="C2" s="301" t="n"/>
      <c r="D2" s="301" t="n"/>
      <c r="E2" s="301" t="n"/>
      <c r="F2" s="301" t="n"/>
      <c r="G2" s="301" t="n"/>
      <c r="H2" s="301" t="n"/>
      <c r="I2" s="301" t="n"/>
      <c r="J2" s="301" t="n"/>
      <c r="K2" s="301" t="n"/>
      <c r="L2" s="301" t="n"/>
    </row>
    <row r="3">
      <c r="A3" s="331" t="inlineStr">
        <is>
          <t xml:space="preserve">Приложение № 3 </t>
        </is>
      </c>
    </row>
    <row r="4">
      <c r="A4" s="332" t="inlineStr">
        <is>
          <t>Объектная ресурсная ведомость</t>
        </is>
      </c>
    </row>
    <row r="5" ht="18.75" customHeight="1" s="299">
      <c r="A5" s="238" t="n"/>
      <c r="B5" s="238" t="n"/>
      <c r="C5" s="353" t="n"/>
    </row>
    <row r="6">
      <c r="A6" s="333" t="n"/>
    </row>
    <row r="7">
      <c r="A7" s="352" t="inlineStr">
        <is>
          <t>Наименование разрабатываемого показателя УНЦ -  КЛ 6 кВ (с медной жилой) сечение жилы 150 мм2</t>
        </is>
      </c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299">
      <c r="A9" s="351" t="inlineStr">
        <is>
          <t>п/п</t>
        </is>
      </c>
      <c r="B9" s="351" t="inlineStr">
        <is>
          <t>№ЛСР</t>
        </is>
      </c>
      <c r="C9" s="351" t="inlineStr">
        <is>
          <t>Код ресурса</t>
        </is>
      </c>
      <c r="D9" s="351" t="inlineStr">
        <is>
          <t>Наименование ресурса</t>
        </is>
      </c>
      <c r="E9" s="351" t="inlineStr">
        <is>
          <t>Ед. изм.</t>
        </is>
      </c>
      <c r="F9" s="351" t="inlineStr">
        <is>
          <t>Кол-во единиц по данным объекта-представителя</t>
        </is>
      </c>
      <c r="G9" s="351" t="inlineStr">
        <is>
          <t>Сметная стоимость в ценах на 01.01.2000 (руб.)</t>
        </is>
      </c>
      <c r="H9" s="427" t="n"/>
    </row>
    <row r="10" ht="40.7" customHeight="1" s="299">
      <c r="A10" s="429" t="n"/>
      <c r="B10" s="429" t="n"/>
      <c r="C10" s="429" t="n"/>
      <c r="D10" s="429" t="n"/>
      <c r="E10" s="429" t="n"/>
      <c r="F10" s="429" t="n"/>
      <c r="G10" s="351" t="inlineStr">
        <is>
          <t>на ед.изм.</t>
        </is>
      </c>
      <c r="H10" s="351" t="inlineStr">
        <is>
          <t>общая</t>
        </is>
      </c>
    </row>
    <row r="11">
      <c r="A11" s="341" t="n">
        <v>1</v>
      </c>
      <c r="B11" s="341" t="n"/>
      <c r="C11" s="341" t="n">
        <v>2</v>
      </c>
      <c r="D11" s="341" t="inlineStr">
        <is>
          <t>З</t>
        </is>
      </c>
      <c r="E11" s="341" t="n">
        <v>4</v>
      </c>
      <c r="F11" s="341" t="n">
        <v>5</v>
      </c>
      <c r="G11" s="341" t="n">
        <v>6</v>
      </c>
      <c r="H11" s="341" t="n">
        <v>7</v>
      </c>
    </row>
    <row r="12" customFormat="1" s="270">
      <c r="A12" s="348" t="inlineStr">
        <is>
          <t>Затраты труда рабочих</t>
        </is>
      </c>
      <c r="B12" s="426" t="n"/>
      <c r="C12" s="426" t="n"/>
      <c r="D12" s="426" t="n"/>
      <c r="E12" s="427" t="n"/>
      <c r="F12" s="434">
        <f>SUM(F13:F13)</f>
        <v/>
      </c>
      <c r="G12" s="236" t="n"/>
      <c r="H12" s="434">
        <f>SUM(H13:H13)</f>
        <v/>
      </c>
    </row>
    <row r="13">
      <c r="A13" s="358" t="n">
        <v>1</v>
      </c>
      <c r="B13" s="288" t="n"/>
      <c r="C13" s="242" t="inlineStr">
        <is>
          <t>1-3-8</t>
        </is>
      </c>
      <c r="D13" s="366" t="inlineStr">
        <is>
          <t>Затраты труда рабочих (средний разряд работы 3,8)</t>
        </is>
      </c>
      <c r="E13" s="358" t="inlineStr">
        <is>
          <t>чел.-ч</t>
        </is>
      </c>
      <c r="F13" s="358" t="n">
        <v>176</v>
      </c>
      <c r="G13" s="435" t="n">
        <v>9.4</v>
      </c>
      <c r="H13" s="195">
        <f>ROUND(F13*G13,2)</f>
        <v/>
      </c>
      <c r="M13" s="436" t="n"/>
    </row>
    <row r="14">
      <c r="A14" s="347" t="inlineStr">
        <is>
          <t>Затраты труда машинистов</t>
        </is>
      </c>
      <c r="B14" s="426" t="n"/>
      <c r="C14" s="426" t="n"/>
      <c r="D14" s="426" t="n"/>
      <c r="E14" s="427" t="n"/>
      <c r="F14" s="348" t="n"/>
      <c r="G14" s="291" t="n"/>
      <c r="H14" s="434">
        <f>H15</f>
        <v/>
      </c>
    </row>
    <row r="15">
      <c r="A15" s="358" t="n">
        <v>2</v>
      </c>
      <c r="B15" s="349" t="n"/>
      <c r="C15" s="242" t="n">
        <v>2</v>
      </c>
      <c r="D15" s="366" t="inlineStr">
        <is>
          <t>Затраты труда машинистов</t>
        </is>
      </c>
      <c r="E15" s="358" t="inlineStr">
        <is>
          <t>чел.-ч</t>
        </is>
      </c>
      <c r="F15" s="358" t="n">
        <v>38.8</v>
      </c>
      <c r="G15" s="195" t="n"/>
      <c r="H15" s="435" t="n">
        <v>486.94</v>
      </c>
    </row>
    <row r="16" customFormat="1" s="270">
      <c r="A16" s="348" t="inlineStr">
        <is>
          <t>Машины и механизмы</t>
        </is>
      </c>
      <c r="B16" s="426" t="n"/>
      <c r="C16" s="426" t="n"/>
      <c r="D16" s="426" t="n"/>
      <c r="E16" s="427" t="n"/>
      <c r="F16" s="348" t="n"/>
      <c r="G16" s="291" t="n"/>
      <c r="H16" s="434">
        <f>SUM(H17:H20)</f>
        <v/>
      </c>
    </row>
    <row r="17">
      <c r="A17" s="358" t="n">
        <v>3</v>
      </c>
      <c r="B17" s="349" t="n"/>
      <c r="C17" s="242" t="inlineStr">
        <is>
          <t>91.05.05-015</t>
        </is>
      </c>
      <c r="D17" s="366" t="inlineStr">
        <is>
          <t>Краны на автомобильном ходу, грузоподъемность 16 т</t>
        </is>
      </c>
      <c r="E17" s="358" t="inlineStr">
        <is>
          <t>маш.час</t>
        </is>
      </c>
      <c r="F17" s="358" t="n">
        <v>19.4</v>
      </c>
      <c r="G17" s="379" t="n">
        <v>115.4</v>
      </c>
      <c r="H17" s="195">
        <f>ROUND(F17*G17,2)</f>
        <v/>
      </c>
      <c r="I17" s="253" t="n"/>
      <c r="J17" s="253" t="n"/>
      <c r="L17" s="253" t="n"/>
    </row>
    <row r="18" customFormat="1" s="270">
      <c r="A18" s="358" t="n">
        <v>4</v>
      </c>
      <c r="B18" s="349" t="n"/>
      <c r="C18" s="242" t="inlineStr">
        <is>
          <t>91.14.02-001</t>
        </is>
      </c>
      <c r="D18" s="366" t="inlineStr">
        <is>
          <t>Автомобили бортовые, грузоподъемность до 5 т</t>
        </is>
      </c>
      <c r="E18" s="358" t="inlineStr">
        <is>
          <t>маш.час</t>
        </is>
      </c>
      <c r="F18" s="358" t="n">
        <v>19.4</v>
      </c>
      <c r="G18" s="379" t="n">
        <v>65.70999999999999</v>
      </c>
      <c r="H18" s="195">
        <f>ROUND(F18*G18,2)</f>
        <v/>
      </c>
      <c r="I18" s="253" t="n"/>
      <c r="J18" s="253" t="n"/>
      <c r="K18" s="254" t="n"/>
      <c r="L18" s="253" t="n"/>
    </row>
    <row r="19" ht="25.5" customHeight="1" s="299">
      <c r="A19" s="358" t="n">
        <v>5</v>
      </c>
      <c r="B19" s="349" t="n"/>
      <c r="C19" s="242" t="inlineStr">
        <is>
          <t>91.06.03-062</t>
        </is>
      </c>
      <c r="D19" s="366" t="inlineStr">
        <is>
          <t>Лебедки электрические тяговым усилием до 31,39 кН (3,2 т)</t>
        </is>
      </c>
      <c r="E19" s="358" t="inlineStr">
        <is>
          <t>маш.час</t>
        </is>
      </c>
      <c r="F19" s="358" t="n">
        <v>39.7</v>
      </c>
      <c r="G19" s="379" t="n">
        <v>6.9</v>
      </c>
      <c r="H19" s="195">
        <f>ROUND(F19*G19,2)</f>
        <v/>
      </c>
      <c r="I19" s="253" t="n"/>
      <c r="J19" s="253" t="n"/>
      <c r="L19" s="253" t="n"/>
    </row>
    <row r="20">
      <c r="A20" s="358" t="n">
        <v>6</v>
      </c>
      <c r="B20" s="349" t="n"/>
      <c r="C20" s="242" t="inlineStr">
        <is>
          <t>91.06.01-003</t>
        </is>
      </c>
      <c r="D20" s="366" t="inlineStr">
        <is>
          <t>Домкраты гидравлические, грузоподъемность 63-100 т</t>
        </is>
      </c>
      <c r="E20" s="358" t="inlineStr">
        <is>
          <t>маш.час</t>
        </is>
      </c>
      <c r="F20" s="358" t="n">
        <v>39.7</v>
      </c>
      <c r="G20" s="379" t="n">
        <v>0.9</v>
      </c>
      <c r="H20" s="195">
        <f>ROUND(F20*G20,2)</f>
        <v/>
      </c>
      <c r="I20" s="253" t="n"/>
      <c r="J20" s="253" t="n"/>
      <c r="L20" s="253" t="n"/>
    </row>
    <row r="21">
      <c r="A21" s="348" t="inlineStr">
        <is>
          <t>Материалы</t>
        </is>
      </c>
      <c r="B21" s="426" t="n"/>
      <c r="C21" s="426" t="n"/>
      <c r="D21" s="426" t="n"/>
      <c r="E21" s="427" t="n"/>
      <c r="F21" s="348" t="n"/>
      <c r="G21" s="291" t="n"/>
      <c r="H21" s="434">
        <f>SUM(H22:H27)</f>
        <v/>
      </c>
    </row>
    <row r="22">
      <c r="A22" s="156" t="n">
        <v>7</v>
      </c>
      <c r="B22" s="156" t="n"/>
      <c r="C22" s="358" t="inlineStr">
        <is>
          <t>Прайс из СД ОП</t>
        </is>
      </c>
      <c r="D22" s="219" t="inlineStr">
        <is>
          <t>Кабель медный 6 кВ 3х150 мм2</t>
        </is>
      </c>
      <c r="E22" s="358" t="inlineStr">
        <is>
          <t>км</t>
        </is>
      </c>
      <c r="F22" s="358" t="n">
        <v>3.3</v>
      </c>
      <c r="G22" s="219" t="n">
        <v>433126.56</v>
      </c>
      <c r="H22" s="195">
        <f>ROUND(F22*G22,2)</f>
        <v/>
      </c>
    </row>
    <row r="23" ht="25.5" customHeight="1" s="299">
      <c r="A23" s="293" t="n">
        <v>8</v>
      </c>
      <c r="B23" s="349" t="n"/>
      <c r="C23" s="242" t="inlineStr">
        <is>
          <t>08.3.08.02-0052</t>
        </is>
      </c>
      <c r="D23" s="366" t="inlineStr">
        <is>
          <t>Уголок горячекатаный, марка стали ВСт3кп2, размер 50х50х5 мм</t>
        </is>
      </c>
      <c r="E23" s="358" t="inlineStr">
        <is>
          <t>т</t>
        </is>
      </c>
      <c r="F23" s="358" t="n">
        <v>0.1</v>
      </c>
      <c r="G23" s="195" t="n">
        <v>5763</v>
      </c>
      <c r="H23" s="195">
        <f>ROUND(F23*G23,2)</f>
        <v/>
      </c>
      <c r="I23" s="234" t="n"/>
      <c r="J23" s="253" t="n"/>
      <c r="K23" s="253" t="n"/>
    </row>
    <row r="24">
      <c r="A24" s="156" t="n">
        <v>9</v>
      </c>
      <c r="B24" s="349" t="n"/>
      <c r="C24" s="242" t="inlineStr">
        <is>
          <t>14.4.02.09-0001</t>
        </is>
      </c>
      <c r="D24" s="366" t="inlineStr">
        <is>
          <t>Краска</t>
        </is>
      </c>
      <c r="E24" s="358" t="inlineStr">
        <is>
          <t>кг</t>
        </is>
      </c>
      <c r="F24" s="358" t="n">
        <v>2.5</v>
      </c>
      <c r="G24" s="195" t="n">
        <v>28.6</v>
      </c>
      <c r="H24" s="195">
        <f>ROUND(F24*G24,2)</f>
        <v/>
      </c>
      <c r="I24" s="234" t="n"/>
      <c r="J24" s="253" t="n"/>
      <c r="K24" s="253" t="n"/>
    </row>
    <row r="25" ht="25.5" customHeight="1" s="299">
      <c r="A25" s="293" t="n">
        <v>10</v>
      </c>
      <c r="B25" s="349" t="n"/>
      <c r="C25" s="242" t="inlineStr">
        <is>
          <t>08.3.07.01-0076</t>
        </is>
      </c>
      <c r="D25" s="366" t="inlineStr">
        <is>
          <t>Прокат полосовой, горячекатаный, марка стали Ст3сп, ширина 50-200 мм, толщина 4-5 мм</t>
        </is>
      </c>
      <c r="E25" s="358" t="inlineStr">
        <is>
          <t>т</t>
        </is>
      </c>
      <c r="F25" s="358" t="n">
        <v>0.01</v>
      </c>
      <c r="G25" s="195" t="n">
        <v>5000</v>
      </c>
      <c r="H25" s="195">
        <f>ROUND(F25*G25,2)</f>
        <v/>
      </c>
      <c r="I25" s="234" t="n"/>
      <c r="J25" s="253" t="n"/>
      <c r="K25" s="253" t="n"/>
    </row>
    <row r="26">
      <c r="A26" s="293" t="n">
        <v>11</v>
      </c>
      <c r="B26" s="349" t="n"/>
      <c r="C26" s="242" t="inlineStr">
        <is>
          <t>01.7.06.07-0002</t>
        </is>
      </c>
      <c r="D26" s="366" t="inlineStr">
        <is>
          <t>Лента монтажная, тип ЛМ-5</t>
        </is>
      </c>
      <c r="E26" s="358" t="inlineStr">
        <is>
          <t>10 м</t>
        </is>
      </c>
      <c r="F26" s="358" t="n">
        <v>0.96</v>
      </c>
      <c r="G26" s="195" t="n">
        <v>6.9</v>
      </c>
      <c r="H26" s="195">
        <f>ROUND(F26*G26,2)</f>
        <v/>
      </c>
      <c r="I26" s="234" t="n"/>
      <c r="J26" s="253" t="n"/>
      <c r="K26" s="253" t="n"/>
    </row>
    <row r="27">
      <c r="A27" s="156" t="n">
        <v>12</v>
      </c>
      <c r="B27" s="349" t="n"/>
      <c r="C27" s="242" t="inlineStr">
        <is>
          <t>14.4.03.03-0002</t>
        </is>
      </c>
      <c r="D27" s="366" t="inlineStr">
        <is>
          <t>Лак битумный БТ-123</t>
        </is>
      </c>
      <c r="E27" s="358" t="inlineStr">
        <is>
          <t>т</t>
        </is>
      </c>
      <c r="F27" s="358" t="n">
        <v>0.0005999999999999999</v>
      </c>
      <c r="G27" s="195" t="n">
        <v>7826.9</v>
      </c>
      <c r="H27" s="195">
        <f>ROUND(F27*G27,2)</f>
        <v/>
      </c>
      <c r="I27" s="234" t="n"/>
      <c r="J27" s="253" t="n"/>
      <c r="K27" s="253" t="n"/>
    </row>
    <row r="28">
      <c r="A28" s="244" t="n"/>
      <c r="B28" s="245" t="n"/>
      <c r="C28" s="246" t="n"/>
      <c r="D28" s="247" t="n"/>
      <c r="E28" s="248" t="n"/>
      <c r="F28" s="248" t="n"/>
      <c r="G28" s="249" t="n"/>
      <c r="H28" s="249" t="n"/>
      <c r="I28" s="234" t="n"/>
      <c r="J28" s="253" t="n"/>
      <c r="K28" s="253" t="n"/>
    </row>
    <row r="31">
      <c r="B31" s="301" t="inlineStr">
        <is>
          <t>Составил ______________________     А.Р. Маркова</t>
        </is>
      </c>
    </row>
    <row r="32">
      <c r="B32" s="204" t="inlineStr">
        <is>
          <t xml:space="preserve">                         (подпись, инициалы, фамилия)</t>
        </is>
      </c>
    </row>
    <row r="34">
      <c r="B34" s="301" t="inlineStr">
        <is>
          <t>Проверил ______________________        А.В. Костянецкая</t>
        </is>
      </c>
    </row>
    <row r="35">
      <c r="B35" s="204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99" min="1" max="1"/>
    <col width="36.28515625" customWidth="1" style="299" min="2" max="2"/>
    <col width="18.85546875" customWidth="1" style="299" min="3" max="3"/>
    <col width="18.28515625" customWidth="1" style="299" min="4" max="4"/>
    <col width="18.85546875" customWidth="1" style="299" min="5" max="5"/>
    <col width="11.42578125" customWidth="1" style="299" min="6" max="6"/>
    <col width="14.42578125" customWidth="1" style="299" min="7" max="7"/>
    <col width="9.140625" customWidth="1" style="299" min="8" max="11"/>
    <col width="13.5703125" customWidth="1" style="299" min="12" max="12"/>
    <col width="9.140625" customWidth="1" style="299" min="13" max="13"/>
  </cols>
  <sheetData>
    <row r="1">
      <c r="B1" s="275" t="n"/>
      <c r="C1" s="275" t="n"/>
      <c r="D1" s="275" t="n"/>
      <c r="E1" s="275" t="n"/>
    </row>
    <row r="2">
      <c r="B2" s="275" t="n"/>
      <c r="C2" s="275" t="n"/>
      <c r="D2" s="275" t="n"/>
      <c r="E2" s="374" t="inlineStr">
        <is>
          <t>Приложение № 4</t>
        </is>
      </c>
    </row>
    <row r="3">
      <c r="B3" s="275" t="n"/>
      <c r="C3" s="275" t="n"/>
      <c r="D3" s="275" t="n"/>
      <c r="E3" s="275" t="n"/>
    </row>
    <row r="4">
      <c r="B4" s="275" t="n"/>
      <c r="C4" s="275" t="n"/>
      <c r="D4" s="275" t="n"/>
      <c r="E4" s="275" t="n"/>
    </row>
    <row r="5">
      <c r="B5" s="321" t="inlineStr">
        <is>
          <t>Ресурсная модель</t>
        </is>
      </c>
    </row>
    <row r="6">
      <c r="B6" s="227" t="n"/>
      <c r="C6" s="275" t="n"/>
      <c r="D6" s="275" t="n"/>
      <c r="E6" s="275" t="n"/>
    </row>
    <row r="7">
      <c r="B7" s="330" t="inlineStr">
        <is>
          <t>Наименование разрабатываемого показателя УНЦ — КЛ 6 кВ (с медной жилой) сечение жилы 150 мм2</t>
        </is>
      </c>
    </row>
    <row r="8">
      <c r="B8" s="354" t="inlineStr">
        <is>
          <t>Единица измерения  — 1 км</t>
        </is>
      </c>
    </row>
    <row r="9">
      <c r="B9" s="227" t="n"/>
      <c r="C9" s="275" t="n"/>
      <c r="D9" s="275" t="n"/>
      <c r="E9" s="275" t="n"/>
    </row>
    <row r="10" ht="51" customHeight="1" s="299">
      <c r="B10" s="358" t="inlineStr">
        <is>
          <t>Наименование</t>
        </is>
      </c>
      <c r="C10" s="358" t="inlineStr">
        <is>
          <t>Сметная стоимость в ценах на 01.01.2023
 (руб.)</t>
        </is>
      </c>
      <c r="D10" s="358" t="inlineStr">
        <is>
          <t>Удельный вес, 
(в СМР)</t>
        </is>
      </c>
      <c r="E10" s="358" t="inlineStr">
        <is>
          <t>Удельный вес, % 
(от всего по РМ)</t>
        </is>
      </c>
    </row>
    <row r="11">
      <c r="B11" s="219" t="inlineStr">
        <is>
          <t>Оплата труда рабочих</t>
        </is>
      </c>
      <c r="C11" s="220">
        <f>'Прил.5 Расчет СМР и ОБ'!J14</f>
        <v/>
      </c>
      <c r="D11" s="221">
        <f>C11/$C$24</f>
        <v/>
      </c>
      <c r="E11" s="221">
        <f>C11/$C$40</f>
        <v/>
      </c>
    </row>
    <row r="12">
      <c r="B12" s="219" t="inlineStr">
        <is>
          <t>Эксплуатация машин основных</t>
        </is>
      </c>
      <c r="C12" s="220">
        <f>'Прил.5 Расчет СМР и ОБ'!J21</f>
        <v/>
      </c>
      <c r="D12" s="221">
        <f>C12/$C$24</f>
        <v/>
      </c>
      <c r="E12" s="221">
        <f>C12/$C$40</f>
        <v/>
      </c>
    </row>
    <row r="13">
      <c r="B13" s="219" t="inlineStr">
        <is>
          <t>Эксплуатация машин прочих</t>
        </is>
      </c>
      <c r="C13" s="220">
        <f>'Прил.5 Расчет СМР и ОБ'!J24</f>
        <v/>
      </c>
      <c r="D13" s="221">
        <f>C13/$C$24</f>
        <v/>
      </c>
      <c r="E13" s="221">
        <f>C13/$C$40</f>
        <v/>
      </c>
    </row>
    <row r="14">
      <c r="B14" s="219" t="inlineStr">
        <is>
          <t>ЭКСПЛУАТАЦИЯ МАШИН, ВСЕГО:</t>
        </is>
      </c>
      <c r="C14" s="220">
        <f>C13+C12</f>
        <v/>
      </c>
      <c r="D14" s="221">
        <f>C14/$C$24</f>
        <v/>
      </c>
      <c r="E14" s="221">
        <f>C14/$C$40</f>
        <v/>
      </c>
    </row>
    <row r="15">
      <c r="B15" s="219" t="inlineStr">
        <is>
          <t>в том числе зарплата машинистов</t>
        </is>
      </c>
      <c r="C15" s="220">
        <f>'Прил.5 Расчет СМР и ОБ'!J16</f>
        <v/>
      </c>
      <c r="D15" s="221">
        <f>C15/$C$24</f>
        <v/>
      </c>
      <c r="E15" s="221">
        <f>C15/$C$40</f>
        <v/>
      </c>
    </row>
    <row r="16">
      <c r="B16" s="219" t="inlineStr">
        <is>
          <t>Материалы основные</t>
        </is>
      </c>
      <c r="C16" s="220">
        <f>'Прил.5 Расчет СМР и ОБ'!J35</f>
        <v/>
      </c>
      <c r="D16" s="221">
        <f>C16/$C$24</f>
        <v/>
      </c>
      <c r="E16" s="221">
        <f>C16/$C$40</f>
        <v/>
      </c>
    </row>
    <row r="17">
      <c r="B17" s="219" t="inlineStr">
        <is>
          <t>Материалы прочие</t>
        </is>
      </c>
      <c r="C17" s="220">
        <f>'Прил.5 Расчет СМР и ОБ'!J41</f>
        <v/>
      </c>
      <c r="D17" s="221">
        <f>C17/$C$24</f>
        <v/>
      </c>
      <c r="E17" s="221">
        <f>C17/$C$40</f>
        <v/>
      </c>
      <c r="G17" s="437" t="n"/>
    </row>
    <row r="18">
      <c r="B18" s="219" t="inlineStr">
        <is>
          <t>МАТЕРИАЛЫ, ВСЕГО:</t>
        </is>
      </c>
      <c r="C18" s="220">
        <f>C17+C16</f>
        <v/>
      </c>
      <c r="D18" s="221">
        <f>C18/$C$24</f>
        <v/>
      </c>
      <c r="E18" s="221">
        <f>C18/$C$40</f>
        <v/>
      </c>
    </row>
    <row r="19">
      <c r="B19" s="219" t="inlineStr">
        <is>
          <t>ИТОГО</t>
        </is>
      </c>
      <c r="C19" s="220">
        <f>C18+C14+C11</f>
        <v/>
      </c>
      <c r="D19" s="221" t="n"/>
      <c r="E19" s="219" t="n"/>
    </row>
    <row r="20">
      <c r="B20" s="219" t="inlineStr">
        <is>
          <t>Сметная прибыль, руб.</t>
        </is>
      </c>
      <c r="C20" s="220">
        <f>ROUND(C21*(C11+C15),2)</f>
        <v/>
      </c>
      <c r="D20" s="221">
        <f>C20/$C$24</f>
        <v/>
      </c>
      <c r="E20" s="221">
        <f>C20/$C$40</f>
        <v/>
      </c>
    </row>
    <row r="21">
      <c r="B21" s="219" t="inlineStr">
        <is>
          <t>Сметная прибыль, %</t>
        </is>
      </c>
      <c r="C21" s="224">
        <f>'Прил.5 Расчет СМР и ОБ'!D45</f>
        <v/>
      </c>
      <c r="D21" s="221" t="n"/>
      <c r="E21" s="219" t="n"/>
    </row>
    <row r="22">
      <c r="B22" s="219" t="inlineStr">
        <is>
          <t>Накладные расходы, руб.</t>
        </is>
      </c>
      <c r="C22" s="220">
        <f>ROUND(C23*(C11+C15),2)</f>
        <v/>
      </c>
      <c r="D22" s="221">
        <f>C22/$C$24</f>
        <v/>
      </c>
      <c r="E22" s="221">
        <f>C22/$C$40</f>
        <v/>
      </c>
    </row>
    <row r="23">
      <c r="B23" s="219" t="inlineStr">
        <is>
          <t>Накладные расходы, %</t>
        </is>
      </c>
      <c r="C23" s="224">
        <f>'Прил.5 Расчет СМР и ОБ'!D44</f>
        <v/>
      </c>
      <c r="D23" s="221" t="n"/>
      <c r="E23" s="219" t="n"/>
    </row>
    <row r="24">
      <c r="B24" s="219" t="inlineStr">
        <is>
          <t>ВСЕГО СМР с НР и СП</t>
        </is>
      </c>
      <c r="C24" s="220">
        <f>C19+C20+C22</f>
        <v/>
      </c>
      <c r="D24" s="221">
        <f>C24/$C$24</f>
        <v/>
      </c>
      <c r="E24" s="221">
        <f>C24/$C$40</f>
        <v/>
      </c>
    </row>
    <row r="25" ht="25.5" customHeight="1" s="299">
      <c r="B25" s="219" t="inlineStr">
        <is>
          <t>ВСЕГО стоимость оборудования, в том числе</t>
        </is>
      </c>
      <c r="C25" s="220">
        <f>'Прил.5 Расчет СМР и ОБ'!J30</f>
        <v/>
      </c>
      <c r="D25" s="221" t="n"/>
      <c r="E25" s="221">
        <f>C25/$C$40</f>
        <v/>
      </c>
    </row>
    <row r="26" ht="25.5" customHeight="1" s="299">
      <c r="B26" s="219" t="inlineStr">
        <is>
          <t>стоимость оборудования технологического</t>
        </is>
      </c>
      <c r="C26" s="220">
        <f>'Прил.5 Расчет СМР и ОБ'!J31</f>
        <v/>
      </c>
      <c r="D26" s="221" t="n"/>
      <c r="E26" s="221">
        <f>C26/$C$40</f>
        <v/>
      </c>
    </row>
    <row r="27">
      <c r="B27" s="219" t="inlineStr">
        <is>
          <t>ИТОГО (СМР + ОБОРУДОВАНИЕ)</t>
        </is>
      </c>
      <c r="C27" s="223">
        <f>C24+C25</f>
        <v/>
      </c>
      <c r="D27" s="221" t="n"/>
      <c r="E27" s="221">
        <f>C27/$C$40</f>
        <v/>
      </c>
    </row>
    <row r="28" ht="33" customHeight="1" s="299">
      <c r="B28" s="219" t="inlineStr">
        <is>
          <t>ПРОЧ. ЗАТР., УЧТЕННЫЕ ПОКАЗАТЕЛЕМ,  в том числе</t>
        </is>
      </c>
      <c r="C28" s="219" t="n"/>
      <c r="D28" s="219" t="n"/>
      <c r="E28" s="219" t="n"/>
      <c r="F28" s="222" t="n"/>
    </row>
    <row r="29" ht="25.5" customHeight="1" s="299">
      <c r="B29" s="219" t="inlineStr">
        <is>
          <t>Временные здания и сооружения - 2,5%</t>
        </is>
      </c>
      <c r="C29" s="223">
        <f>ROUND(C24*2.5%,2)</f>
        <v/>
      </c>
      <c r="D29" s="219" t="n"/>
      <c r="E29" s="221">
        <f>C29/$C$40</f>
        <v/>
      </c>
    </row>
    <row r="30" ht="38.25" customHeight="1" s="299">
      <c r="B30" s="219" t="inlineStr">
        <is>
          <t>Дополнительные затраты при производстве строительно-монтажных работ в зимнее время - 2,1%</t>
        </is>
      </c>
      <c r="C30" s="223">
        <f>ROUND((C24+C29)*2.1%,2)</f>
        <v/>
      </c>
      <c r="D30" s="219" t="n"/>
      <c r="E30" s="221">
        <f>C30/$C$40</f>
        <v/>
      </c>
      <c r="F30" s="222" t="n"/>
    </row>
    <row r="31">
      <c r="B31" s="219" t="inlineStr">
        <is>
          <t>Пусконаладочные работы</t>
        </is>
      </c>
      <c r="C31" s="243" t="n">
        <v>0</v>
      </c>
      <c r="D31" s="219" t="n"/>
      <c r="E31" s="221">
        <f>C31/$C$40</f>
        <v/>
      </c>
    </row>
    <row r="32" ht="25.5" customHeight="1" s="299">
      <c r="B32" s="219" t="inlineStr">
        <is>
          <t>Затраты по перевозке работников к месту работы и обратно</t>
        </is>
      </c>
      <c r="C32" s="223">
        <f>ROUND(C27*0%,2)</f>
        <v/>
      </c>
      <c r="D32" s="219" t="n"/>
      <c r="E32" s="221">
        <f>C32/$C$40</f>
        <v/>
      </c>
    </row>
    <row r="33" ht="25.5" customHeight="1" s="299">
      <c r="B33" s="219" t="inlineStr">
        <is>
          <t>Затраты, связанные с осуществлением работ вахтовым методом</t>
        </is>
      </c>
      <c r="C33" s="223">
        <f>ROUND(C28*0%,2)</f>
        <v/>
      </c>
      <c r="D33" s="219" t="n"/>
      <c r="E33" s="221">
        <f>C33/$C$40</f>
        <v/>
      </c>
    </row>
    <row r="34" ht="51" customHeight="1" s="299">
      <c r="B34" s="21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3">
        <f>ROUND(C29*0%,2)</f>
        <v/>
      </c>
      <c r="D34" s="219" t="n"/>
      <c r="E34" s="221">
        <f>C34/$C$40</f>
        <v/>
      </c>
      <c r="H34" s="234" t="n"/>
    </row>
    <row r="35" ht="76.5" customHeight="1" s="299">
      <c r="B35" s="21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3">
        <f>ROUND(C30*0%,2)</f>
        <v/>
      </c>
      <c r="D35" s="219" t="n"/>
      <c r="E35" s="221">
        <f>C35/$C$40</f>
        <v/>
      </c>
    </row>
    <row r="36" ht="25.5" customHeight="1" s="299">
      <c r="B36" s="219" t="inlineStr">
        <is>
          <t>Строительный контроль и содержание службы заказчика - 2,14%</t>
        </is>
      </c>
      <c r="C36" s="223">
        <f>ROUND((C27+C32+C33+C34+C35+C29+C31+C30)*2.14%,2)</f>
        <v/>
      </c>
      <c r="D36" s="219" t="n"/>
      <c r="E36" s="221">
        <f>C36/$C$40</f>
        <v/>
      </c>
      <c r="G36" s="294" t="n"/>
      <c r="L36" s="222" t="n"/>
    </row>
    <row r="37">
      <c r="B37" s="219" t="inlineStr">
        <is>
          <t>Авторский надзор - 0,2%</t>
        </is>
      </c>
      <c r="C37" s="223">
        <f>ROUND((C27+C32+C33+C34+C35+C29+C31+C30)*0.2%,2)</f>
        <v/>
      </c>
      <c r="D37" s="219" t="n"/>
      <c r="E37" s="221">
        <f>C37/$C$40</f>
        <v/>
      </c>
      <c r="G37" s="295" t="n"/>
      <c r="L37" s="222" t="n"/>
    </row>
    <row r="38" ht="38.25" customHeight="1" s="299">
      <c r="B38" s="219" t="inlineStr">
        <is>
          <t>ИТОГО (СМР+ОБОРУДОВАНИЕ+ПРОЧ. ЗАТР., УЧТЕННЫЕ ПОКАЗАТЕЛЕМ)</t>
        </is>
      </c>
      <c r="C38" s="220">
        <f>C27+C32+C33+C34+C35+C29+C31+C30+C36+C37</f>
        <v/>
      </c>
      <c r="D38" s="219" t="n"/>
      <c r="E38" s="221">
        <f>C38/$C$40</f>
        <v/>
      </c>
    </row>
    <row r="39" ht="13.7" customHeight="1" s="299">
      <c r="B39" s="219" t="inlineStr">
        <is>
          <t>Непредвиденные расходы</t>
        </is>
      </c>
      <c r="C39" s="220">
        <f>ROUND(C38*3%,2)</f>
        <v/>
      </c>
      <c r="D39" s="219" t="n"/>
      <c r="E39" s="221">
        <f>C39/$C$38</f>
        <v/>
      </c>
    </row>
    <row r="40">
      <c r="B40" s="219" t="inlineStr">
        <is>
          <t>ВСЕГО:</t>
        </is>
      </c>
      <c r="C40" s="220">
        <f>C39+C38</f>
        <v/>
      </c>
      <c r="D40" s="219" t="n"/>
      <c r="E40" s="221">
        <f>C40/$C$40</f>
        <v/>
      </c>
    </row>
    <row r="41">
      <c r="B41" s="219" t="inlineStr">
        <is>
          <t>ИТОГО ПОКАЗАТЕЛЬ НА ЕД. ИЗМ.</t>
        </is>
      </c>
      <c r="C41" s="220">
        <f>C40/'Прил.5 Расчет СМР и ОБ'!E48</f>
        <v/>
      </c>
      <c r="D41" s="219" t="n"/>
      <c r="E41" s="219" t="n"/>
    </row>
    <row r="42">
      <c r="B42" s="218" t="n"/>
      <c r="C42" s="275" t="n"/>
      <c r="D42" s="275" t="n"/>
      <c r="E42" s="275" t="n"/>
    </row>
    <row r="43">
      <c r="B43" s="218" t="inlineStr">
        <is>
          <t>Составил ____________________________ А.Р. Маркова</t>
        </is>
      </c>
      <c r="C43" s="275" t="n"/>
      <c r="D43" s="275" t="n"/>
      <c r="E43" s="275" t="n"/>
    </row>
    <row r="44">
      <c r="B44" s="218" t="inlineStr">
        <is>
          <t xml:space="preserve">(должность, подпись, инициалы, фамилия) </t>
        </is>
      </c>
      <c r="C44" s="275" t="n"/>
      <c r="D44" s="275" t="n"/>
      <c r="E44" s="275" t="n"/>
    </row>
    <row r="45">
      <c r="B45" s="218" t="n"/>
      <c r="C45" s="275" t="n"/>
      <c r="D45" s="275" t="n"/>
      <c r="E45" s="275" t="n"/>
    </row>
    <row r="46">
      <c r="B46" s="218" t="inlineStr">
        <is>
          <t>Проверил ____________________________ А.В. Костянецкая</t>
        </is>
      </c>
      <c r="C46" s="275" t="n"/>
      <c r="D46" s="275" t="n"/>
      <c r="E46" s="275" t="n"/>
    </row>
    <row r="47">
      <c r="B47" s="354" t="inlineStr">
        <is>
          <t>(должность, подпись, инициалы, фамилия)</t>
        </is>
      </c>
      <c r="D47" s="275" t="n"/>
      <c r="E47" s="275" t="n"/>
    </row>
    <row r="49">
      <c r="B49" s="275" t="n"/>
      <c r="C49" s="275" t="n"/>
      <c r="D49" s="275" t="n"/>
      <c r="E49" s="275" t="n"/>
    </row>
    <row r="50">
      <c r="B50" s="275" t="n"/>
      <c r="C50" s="275" t="n"/>
      <c r="D50" s="275" t="n"/>
      <c r="E50" s="27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85" zoomScaleSheetLayoutView="85" workbookViewId="0">
      <selection activeCell="O22" sqref="O22"/>
    </sheetView>
  </sheetViews>
  <sheetFormatPr baseColWidth="8" defaultColWidth="9.140625" defaultRowHeight="15" outlineLevelRow="1"/>
  <cols>
    <col width="5.7109375" customWidth="1" style="276" min="1" max="1"/>
    <col width="22.5703125" customWidth="1" style="276" min="2" max="2"/>
    <col width="39.140625" customWidth="1" style="276" min="3" max="3"/>
    <col width="10.7109375" customWidth="1" style="276" min="4" max="4"/>
    <col width="12.7109375" customWidth="1" style="276" min="5" max="5"/>
    <col width="15" customWidth="1" style="276" min="6" max="6"/>
    <col width="13.42578125" customWidth="1" style="276" min="7" max="7"/>
    <col width="12.7109375" customWidth="1" style="276" min="8" max="8"/>
    <col width="13.85546875" customWidth="1" style="276" min="9" max="9"/>
    <col width="17.5703125" customWidth="1" style="276" min="10" max="10"/>
    <col width="10.85546875" customWidth="1" style="276" min="11" max="11"/>
    <col width="9.140625" customWidth="1" style="276" min="12" max="12"/>
    <col width="9.140625" customWidth="1" style="299" min="13" max="13"/>
  </cols>
  <sheetData>
    <row r="1" s="299">
      <c r="A1" s="276" t="n"/>
      <c r="B1" s="276" t="n"/>
      <c r="C1" s="276" t="n"/>
      <c r="D1" s="276" t="n"/>
      <c r="E1" s="276" t="n"/>
      <c r="F1" s="276" t="n"/>
      <c r="G1" s="276" t="n"/>
      <c r="H1" s="276" t="n"/>
      <c r="I1" s="276" t="n"/>
      <c r="J1" s="276" t="n"/>
      <c r="K1" s="276" t="n"/>
      <c r="L1" s="276" t="n"/>
      <c r="M1" s="276" t="n"/>
      <c r="N1" s="276" t="n"/>
    </row>
    <row r="2" ht="15.75" customHeight="1" s="299">
      <c r="A2" s="276" t="n"/>
      <c r="B2" s="276" t="n"/>
      <c r="C2" s="276" t="n"/>
      <c r="D2" s="276" t="n"/>
      <c r="E2" s="276" t="n"/>
      <c r="F2" s="276" t="n"/>
      <c r="G2" s="276" t="n"/>
      <c r="H2" s="355" t="inlineStr">
        <is>
          <t>Приложение №5</t>
        </is>
      </c>
      <c r="K2" s="276" t="n"/>
      <c r="L2" s="276" t="n"/>
      <c r="M2" s="276" t="n"/>
      <c r="N2" s="276" t="n"/>
    </row>
    <row r="3" s="299">
      <c r="A3" s="276" t="n"/>
      <c r="B3" s="276" t="n"/>
      <c r="C3" s="276" t="n"/>
      <c r="D3" s="276" t="n"/>
      <c r="E3" s="276" t="n"/>
      <c r="F3" s="276" t="n"/>
      <c r="G3" s="276" t="n"/>
      <c r="H3" s="276" t="n"/>
      <c r="I3" s="276" t="n"/>
      <c r="J3" s="276" t="n"/>
      <c r="K3" s="276" t="n"/>
      <c r="L3" s="276" t="n"/>
      <c r="M3" s="276" t="n"/>
      <c r="N3" s="276" t="n"/>
    </row>
    <row r="4" ht="12.75" customFormat="1" customHeight="1" s="275">
      <c r="A4" s="321" t="inlineStr">
        <is>
          <t>Расчет стоимости СМР и оборудования</t>
        </is>
      </c>
    </row>
    <row r="5" ht="12.75" customFormat="1" customHeight="1" s="275">
      <c r="A5" s="321" t="n"/>
      <c r="B5" s="321" t="n"/>
      <c r="C5" s="383" t="n"/>
      <c r="D5" s="321" t="n"/>
      <c r="E5" s="321" t="n"/>
      <c r="F5" s="321" t="n"/>
      <c r="G5" s="321" t="n"/>
      <c r="H5" s="321" t="n"/>
      <c r="I5" s="321" t="n"/>
      <c r="J5" s="321" t="n"/>
    </row>
    <row r="6" ht="12.75" customFormat="1" customHeight="1" s="275">
      <c r="A6" s="198" t="inlineStr">
        <is>
          <t>Наименование разрабатываемого показателя УНЦ</t>
        </is>
      </c>
      <c r="B6" s="197" t="n"/>
      <c r="C6" s="197" t="n"/>
      <c r="D6" s="324" t="inlineStr">
        <is>
          <t>КЛ 6 кВ (с медной жилой) сечение жилы 150 мм2</t>
        </is>
      </c>
    </row>
    <row r="7" ht="12.75" customFormat="1" customHeight="1" s="275">
      <c r="A7" s="324" t="inlineStr">
        <is>
          <t>Единица измерения  — 1 км</t>
        </is>
      </c>
      <c r="I7" s="330" t="n"/>
      <c r="J7" s="330" t="n"/>
    </row>
    <row r="8" ht="13.7" customFormat="1" customHeight="1" s="275">
      <c r="A8" s="324" t="n"/>
    </row>
    <row r="9" ht="27" customHeight="1" s="299">
      <c r="A9" s="358" t="inlineStr">
        <is>
          <t>№ пп.</t>
        </is>
      </c>
      <c r="B9" s="358" t="inlineStr">
        <is>
          <t>Код ресурса</t>
        </is>
      </c>
      <c r="C9" s="358" t="inlineStr">
        <is>
          <t>Наименование</t>
        </is>
      </c>
      <c r="D9" s="358" t="inlineStr">
        <is>
          <t>Ед. изм.</t>
        </is>
      </c>
      <c r="E9" s="358" t="inlineStr">
        <is>
          <t>Кол-во единиц по проектным данным</t>
        </is>
      </c>
      <c r="F9" s="358" t="inlineStr">
        <is>
          <t>Сметная стоимость в ценах на 01.01.2000 (руб.)</t>
        </is>
      </c>
      <c r="G9" s="427" t="n"/>
      <c r="H9" s="358" t="inlineStr">
        <is>
          <t>Удельный вес, %</t>
        </is>
      </c>
      <c r="I9" s="358" t="inlineStr">
        <is>
          <t>Сметная стоимость в ценах на 01.01.2023 (руб.)</t>
        </is>
      </c>
      <c r="J9" s="427" t="n"/>
      <c r="K9" s="276" t="n"/>
      <c r="L9" s="276" t="n"/>
      <c r="M9" s="276" t="n"/>
      <c r="N9" s="276" t="n"/>
    </row>
    <row r="10" ht="28.5" customHeight="1" s="299">
      <c r="A10" s="429" t="n"/>
      <c r="B10" s="429" t="n"/>
      <c r="C10" s="429" t="n"/>
      <c r="D10" s="429" t="n"/>
      <c r="E10" s="429" t="n"/>
      <c r="F10" s="358" t="inlineStr">
        <is>
          <t>на ед. изм.</t>
        </is>
      </c>
      <c r="G10" s="358" t="inlineStr">
        <is>
          <t>общая</t>
        </is>
      </c>
      <c r="H10" s="429" t="n"/>
      <c r="I10" s="358" t="inlineStr">
        <is>
          <t>на ед. изм.</t>
        </is>
      </c>
      <c r="J10" s="358" t="inlineStr">
        <is>
          <t>общая</t>
        </is>
      </c>
      <c r="K10" s="276" t="n"/>
      <c r="L10" s="276" t="n"/>
      <c r="M10" s="276" t="n"/>
      <c r="N10" s="276" t="n"/>
    </row>
    <row r="11" s="299">
      <c r="A11" s="358" t="n">
        <v>1</v>
      </c>
      <c r="B11" s="358" t="n">
        <v>2</v>
      </c>
      <c r="C11" s="358" t="n">
        <v>3</v>
      </c>
      <c r="D11" s="358" t="n">
        <v>4</v>
      </c>
      <c r="E11" s="358" t="n">
        <v>5</v>
      </c>
      <c r="F11" s="358" t="n">
        <v>6</v>
      </c>
      <c r="G11" s="358" t="n">
        <v>7</v>
      </c>
      <c r="H11" s="358" t="n">
        <v>8</v>
      </c>
      <c r="I11" s="359" t="n">
        <v>9</v>
      </c>
      <c r="J11" s="359" t="n">
        <v>10</v>
      </c>
      <c r="K11" s="276" t="n"/>
      <c r="L11" s="276" t="n"/>
      <c r="M11" s="276" t="n"/>
      <c r="N11" s="276" t="n"/>
    </row>
    <row r="12">
      <c r="A12" s="358" t="n"/>
      <c r="B12" s="365" t="inlineStr">
        <is>
          <t>Затраты труда рабочих-строителей</t>
        </is>
      </c>
      <c r="C12" s="426" t="n"/>
      <c r="D12" s="426" t="n"/>
      <c r="E12" s="426" t="n"/>
      <c r="F12" s="426" t="n"/>
      <c r="G12" s="426" t="n"/>
      <c r="H12" s="427" t="n"/>
      <c r="I12" s="297" t="n"/>
      <c r="J12" s="297" t="n"/>
    </row>
    <row r="13" ht="25.5" customHeight="1" s="299">
      <c r="A13" s="358" t="n">
        <v>1</v>
      </c>
      <c r="B13" s="242" t="inlineStr">
        <is>
          <t>1-3-8</t>
        </is>
      </c>
      <c r="C13" s="366" t="inlineStr">
        <is>
          <t>Затраты труда рабочих-строителей среднего разряда (3,8)</t>
        </is>
      </c>
      <c r="D13" s="358" t="inlineStr">
        <is>
          <t>чел.-ч.</t>
        </is>
      </c>
      <c r="E13" s="438">
        <f>G13/F13</f>
        <v/>
      </c>
      <c r="F13" s="195" t="n">
        <v>9.4</v>
      </c>
      <c r="G13" s="195">
        <f>Прил.3!H12</f>
        <v/>
      </c>
      <c r="H13" s="196">
        <f>G13/G14</f>
        <v/>
      </c>
      <c r="I13" s="195">
        <f>ФОТр.тек.!E13</f>
        <v/>
      </c>
      <c r="J13" s="195">
        <f>ROUND(I13*E13,2)</f>
        <v/>
      </c>
    </row>
    <row r="14" ht="25.5" customFormat="1" customHeight="1" s="276">
      <c r="A14" s="358" t="n"/>
      <c r="B14" s="358" t="n"/>
      <c r="C14" s="365" t="inlineStr">
        <is>
          <t>Итого по разделу "Затраты труда рабочих-строителей"</t>
        </is>
      </c>
      <c r="D14" s="358" t="inlineStr">
        <is>
          <t>чел.-ч.</t>
        </is>
      </c>
      <c r="E14" s="439">
        <f>SUM(E13:E13)</f>
        <v/>
      </c>
      <c r="F14" s="195" t="n"/>
      <c r="G14" s="195">
        <f>SUM(G13:G13)</f>
        <v/>
      </c>
      <c r="H14" s="369" t="n">
        <v>1</v>
      </c>
      <c r="I14" s="297" t="n"/>
      <c r="J14" s="195">
        <f>SUM(J13:J13)</f>
        <v/>
      </c>
    </row>
    <row r="15" ht="14.25" customFormat="1" customHeight="1" s="276">
      <c r="A15" s="358" t="n"/>
      <c r="B15" s="366" t="inlineStr">
        <is>
          <t>Затраты труда машинистов</t>
        </is>
      </c>
      <c r="C15" s="426" t="n"/>
      <c r="D15" s="426" t="n"/>
      <c r="E15" s="426" t="n"/>
      <c r="F15" s="426" t="n"/>
      <c r="G15" s="426" t="n"/>
      <c r="H15" s="427" t="n"/>
      <c r="I15" s="297" t="n"/>
      <c r="J15" s="297" t="n"/>
    </row>
    <row r="16" ht="14.25" customFormat="1" customHeight="1" s="276">
      <c r="A16" s="358" t="n">
        <v>2</v>
      </c>
      <c r="B16" s="358" t="n">
        <v>2</v>
      </c>
      <c r="C16" s="366" t="inlineStr">
        <is>
          <t>Затраты труда машинистов</t>
        </is>
      </c>
      <c r="D16" s="358" t="inlineStr">
        <is>
          <t>чел.-ч.</t>
        </is>
      </c>
      <c r="E16" s="438" t="n">
        <v>38.8</v>
      </c>
      <c r="F16" s="195">
        <f>G16/E16</f>
        <v/>
      </c>
      <c r="G16" s="195">
        <f>Прил.3!H14</f>
        <v/>
      </c>
      <c r="H16" s="369" t="n">
        <v>1</v>
      </c>
      <c r="I16" s="195">
        <f>ROUND(F16*Прил.10!D11,2)</f>
        <v/>
      </c>
      <c r="J16" s="195">
        <f>ROUND(I16*E16,2)</f>
        <v/>
      </c>
    </row>
    <row r="17" ht="14.25" customFormat="1" customHeight="1" s="276">
      <c r="A17" s="358" t="n"/>
      <c r="B17" s="365" t="inlineStr">
        <is>
          <t>Машины и механизмы</t>
        </is>
      </c>
      <c r="C17" s="426" t="n"/>
      <c r="D17" s="426" t="n"/>
      <c r="E17" s="426" t="n"/>
      <c r="F17" s="426" t="n"/>
      <c r="G17" s="426" t="n"/>
      <c r="H17" s="427" t="n"/>
      <c r="I17" s="297" t="n"/>
      <c r="J17" s="297" t="n"/>
    </row>
    <row r="18" ht="14.25" customFormat="1" customHeight="1" s="276">
      <c r="A18" s="358" t="n"/>
      <c r="B18" s="366" t="inlineStr">
        <is>
          <t>Основные машины и механизмы</t>
        </is>
      </c>
      <c r="C18" s="426" t="n"/>
      <c r="D18" s="426" t="n"/>
      <c r="E18" s="426" t="n"/>
      <c r="F18" s="426" t="n"/>
      <c r="G18" s="426" t="n"/>
      <c r="H18" s="427" t="n"/>
      <c r="I18" s="297" t="n"/>
      <c r="J18" s="297" t="n"/>
    </row>
    <row r="19" ht="25.5" customFormat="1" customHeight="1" s="276">
      <c r="A19" s="358" t="n">
        <v>3</v>
      </c>
      <c r="B19" s="242" t="inlineStr">
        <is>
          <t>91.05.05-015</t>
        </is>
      </c>
      <c r="C19" s="366" t="inlineStr">
        <is>
          <t>Краны на автомобильном ходу, грузоподъемность 16 т</t>
        </is>
      </c>
      <c r="D19" s="358" t="inlineStr">
        <is>
          <t>маш.час</t>
        </is>
      </c>
      <c r="E19" s="438" t="n">
        <v>19.4</v>
      </c>
      <c r="F19" s="379" t="n">
        <v>115.4</v>
      </c>
      <c r="G19" s="195">
        <f>ROUND(E19*F19,2)</f>
        <v/>
      </c>
      <c r="H19" s="196">
        <f>G19/$G$25</f>
        <v/>
      </c>
      <c r="I19" s="195">
        <f>ROUND(F19*Прил.10!$D$12,2)</f>
        <v/>
      </c>
      <c r="J19" s="195">
        <f>ROUND(I19*E19,2)</f>
        <v/>
      </c>
    </row>
    <row r="20" ht="25.5" customFormat="1" customHeight="1" s="276">
      <c r="A20" s="358" t="n">
        <v>4</v>
      </c>
      <c r="B20" s="242" t="inlineStr">
        <is>
          <t>91.14.02-001</t>
        </is>
      </c>
      <c r="C20" s="366" t="inlineStr">
        <is>
          <t>Автомобили бортовые, грузоподъемность до 5 т</t>
        </is>
      </c>
      <c r="D20" s="358" t="inlineStr">
        <is>
          <t>маш.час</t>
        </is>
      </c>
      <c r="E20" s="438" t="n">
        <v>19.4</v>
      </c>
      <c r="F20" s="379" t="n">
        <v>65.70999999999999</v>
      </c>
      <c r="G20" s="195">
        <f>ROUND(E20*F20,2)</f>
        <v/>
      </c>
      <c r="H20" s="196">
        <f>G20/$G$25</f>
        <v/>
      </c>
      <c r="I20" s="195">
        <f>ROUND(F20*Прил.10!$D$12,2)</f>
        <v/>
      </c>
      <c r="J20" s="195">
        <f>ROUND(I20*E20,2)</f>
        <v/>
      </c>
    </row>
    <row r="21" ht="14.25" customFormat="1" customHeight="1" s="276">
      <c r="A21" s="358" t="n"/>
      <c r="B21" s="358" t="n"/>
      <c r="C21" s="366" t="inlineStr">
        <is>
          <t>Итого основные машины и механизмы</t>
        </is>
      </c>
      <c r="D21" s="358" t="n"/>
      <c r="E21" s="439" t="n"/>
      <c r="F21" s="195" t="n"/>
      <c r="G21" s="195">
        <f>SUM(G19:G20)</f>
        <v/>
      </c>
      <c r="H21" s="369">
        <f>G21/G25</f>
        <v/>
      </c>
      <c r="I21" s="192" t="n"/>
      <c r="J21" s="195">
        <f>SUM(J19:J20)</f>
        <v/>
      </c>
    </row>
    <row r="22" outlineLevel="1" ht="25.5" customFormat="1" customHeight="1" s="276">
      <c r="A22" s="358" t="n">
        <v>5</v>
      </c>
      <c r="B22" s="242" t="inlineStr">
        <is>
          <t>91.06.03-062</t>
        </is>
      </c>
      <c r="C22" s="366" t="inlineStr">
        <is>
          <t>Лебедки электрические тяговым усилием до 31,39 кН (3,2 т)</t>
        </is>
      </c>
      <c r="D22" s="358" t="inlineStr">
        <is>
          <t>маш.час</t>
        </is>
      </c>
      <c r="E22" s="438" t="n">
        <v>39.7</v>
      </c>
      <c r="F22" s="379" t="n">
        <v>6.9</v>
      </c>
      <c r="G22" s="195">
        <f>ROUND(E22*F22,2)</f>
        <v/>
      </c>
      <c r="H22" s="196">
        <f>G22/$G$25</f>
        <v/>
      </c>
      <c r="I22" s="195">
        <f>ROUND(F22*Прил.10!$D$12,2)</f>
        <v/>
      </c>
      <c r="J22" s="195">
        <f>ROUND(I22*E22,2)</f>
        <v/>
      </c>
    </row>
    <row r="23" outlineLevel="1" ht="25.5" customFormat="1" customHeight="1" s="276">
      <c r="A23" s="358" t="n">
        <v>6</v>
      </c>
      <c r="B23" s="242" t="inlineStr">
        <is>
          <t>91.06.01-003</t>
        </is>
      </c>
      <c r="C23" s="366" t="inlineStr">
        <is>
          <t>Домкраты гидравлические, грузоподъемность 63-100 т</t>
        </is>
      </c>
      <c r="D23" s="358" t="inlineStr">
        <is>
          <t>маш.час</t>
        </is>
      </c>
      <c r="E23" s="438" t="n">
        <v>39.7</v>
      </c>
      <c r="F23" s="379" t="n">
        <v>0.9</v>
      </c>
      <c r="G23" s="195">
        <f>ROUND(E23*F23,2)</f>
        <v/>
      </c>
      <c r="H23" s="196">
        <f>G23/$G$25</f>
        <v/>
      </c>
      <c r="I23" s="195">
        <f>ROUND(F23*Прил.10!$D$12,2)</f>
        <v/>
      </c>
      <c r="J23" s="195">
        <f>ROUND(I23*E23,2)</f>
        <v/>
      </c>
    </row>
    <row r="24" ht="14.25" customFormat="1" customHeight="1" s="276">
      <c r="A24" s="358" t="n"/>
      <c r="B24" s="358" t="n"/>
      <c r="C24" s="366" t="inlineStr">
        <is>
          <t>Итого прочие машины и механизмы</t>
        </is>
      </c>
      <c r="D24" s="358" t="n"/>
      <c r="E24" s="367" t="n"/>
      <c r="F24" s="195" t="n"/>
      <c r="G24" s="192">
        <f>SUM(G22:G23)</f>
        <v/>
      </c>
      <c r="H24" s="196">
        <f>G24/G25</f>
        <v/>
      </c>
      <c r="I24" s="195" t="n"/>
      <c r="J24" s="195">
        <f>SUM(J22:J23)</f>
        <v/>
      </c>
    </row>
    <row r="25" ht="25.5" customFormat="1" customHeight="1" s="276">
      <c r="A25" s="358" t="n"/>
      <c r="B25" s="358" t="n"/>
      <c r="C25" s="365" t="inlineStr">
        <is>
          <t>Итого по разделу «Машины и механизмы»</t>
        </is>
      </c>
      <c r="D25" s="358" t="n"/>
      <c r="E25" s="367" t="n"/>
      <c r="F25" s="195" t="n"/>
      <c r="G25" s="195">
        <f>G24+G21</f>
        <v/>
      </c>
      <c r="H25" s="189" t="n">
        <v>1</v>
      </c>
      <c r="I25" s="190" t="n"/>
      <c r="J25" s="201">
        <f>J24+J21</f>
        <v/>
      </c>
    </row>
    <row r="26" ht="14.25" customFormat="1" customHeight="1" s="276">
      <c r="A26" s="358" t="n"/>
      <c r="B26" s="365" t="inlineStr">
        <is>
          <t>Оборудование</t>
        </is>
      </c>
      <c r="C26" s="426" t="n"/>
      <c r="D26" s="426" t="n"/>
      <c r="E26" s="426" t="n"/>
      <c r="F26" s="426" t="n"/>
      <c r="G26" s="426" t="n"/>
      <c r="H26" s="427" t="n"/>
      <c r="I26" s="297" t="n"/>
      <c r="J26" s="297" t="n"/>
    </row>
    <row r="27">
      <c r="A27" s="358" t="n"/>
      <c r="B27" s="366" t="inlineStr">
        <is>
          <t>Основное оборудование</t>
        </is>
      </c>
      <c r="C27" s="426" t="n"/>
      <c r="D27" s="426" t="n"/>
      <c r="E27" s="426" t="n"/>
      <c r="F27" s="426" t="n"/>
      <c r="G27" s="426" t="n"/>
      <c r="H27" s="427" t="n"/>
      <c r="I27" s="297" t="n"/>
      <c r="J27" s="297" t="n"/>
      <c r="K27" s="276" t="n"/>
      <c r="L27" s="276" t="n"/>
    </row>
    <row r="28">
      <c r="A28" s="358" t="n"/>
      <c r="B28" s="358" t="n"/>
      <c r="C28" s="366" t="inlineStr">
        <is>
          <t>Итого основное оборудование</t>
        </is>
      </c>
      <c r="D28" s="358" t="n"/>
      <c r="E28" s="438" t="n"/>
      <c r="F28" s="368" t="n"/>
      <c r="G28" s="195" t="n">
        <v>0</v>
      </c>
      <c r="H28" s="196" t="n">
        <v>0</v>
      </c>
      <c r="I28" s="192" t="n"/>
      <c r="J28" s="195" t="n">
        <v>0</v>
      </c>
      <c r="K28" s="276" t="n"/>
      <c r="L28" s="276" t="n"/>
    </row>
    <row r="29">
      <c r="A29" s="358" t="n"/>
      <c r="B29" s="358" t="n"/>
      <c r="C29" s="366" t="inlineStr">
        <is>
          <t>Итого прочее оборудование</t>
        </is>
      </c>
      <c r="D29" s="358" t="n"/>
      <c r="E29" s="439" t="n"/>
      <c r="F29" s="368" t="n"/>
      <c r="G29" s="195" t="n">
        <v>0</v>
      </c>
      <c r="H29" s="196" t="n">
        <v>0</v>
      </c>
      <c r="I29" s="192" t="n"/>
      <c r="J29" s="195" t="n">
        <v>0</v>
      </c>
      <c r="K29" s="276" t="n"/>
      <c r="L29" s="276" t="n"/>
    </row>
    <row r="30">
      <c r="A30" s="358" t="n"/>
      <c r="B30" s="358" t="n"/>
      <c r="C30" s="365" t="inlineStr">
        <is>
          <t>Итого по разделу «Оборудование»</t>
        </is>
      </c>
      <c r="D30" s="358" t="n"/>
      <c r="E30" s="367" t="n"/>
      <c r="F30" s="368" t="n"/>
      <c r="G30" s="195">
        <f>G28+G29</f>
        <v/>
      </c>
      <c r="H30" s="196" t="n">
        <v>0</v>
      </c>
      <c r="I30" s="192" t="n"/>
      <c r="J30" s="195">
        <f>J29+J28</f>
        <v/>
      </c>
      <c r="K30" s="276" t="n"/>
      <c r="L30" s="276" t="n"/>
    </row>
    <row r="31" ht="25.5" customHeight="1" s="299">
      <c r="A31" s="358" t="n"/>
      <c r="B31" s="358" t="n"/>
      <c r="C31" s="366" t="inlineStr">
        <is>
          <t>в том числе технологическое оборудование</t>
        </is>
      </c>
      <c r="D31" s="358" t="n"/>
      <c r="E31" s="438" t="n"/>
      <c r="F31" s="368" t="n"/>
      <c r="G31" s="195">
        <f>'Прил.6 Расчет ОБ'!G12</f>
        <v/>
      </c>
      <c r="H31" s="369" t="n"/>
      <c r="I31" s="192" t="n"/>
      <c r="J31" s="195">
        <f>J30</f>
        <v/>
      </c>
      <c r="K31" s="276" t="n"/>
      <c r="L31" s="276" t="n"/>
    </row>
    <row r="32" ht="14.25" customFormat="1" customHeight="1" s="276">
      <c r="A32" s="358" t="n"/>
      <c r="B32" s="365" t="inlineStr">
        <is>
          <t>Материалы</t>
        </is>
      </c>
      <c r="C32" s="426" t="n"/>
      <c r="D32" s="426" t="n"/>
      <c r="E32" s="426" t="n"/>
      <c r="F32" s="426" t="n"/>
      <c r="G32" s="426" t="n"/>
      <c r="H32" s="427" t="n"/>
      <c r="I32" s="297" t="n"/>
      <c r="J32" s="297" t="n"/>
    </row>
    <row r="33" ht="14.25" customFormat="1" customHeight="1" s="276">
      <c r="A33" s="359" t="n"/>
      <c r="B33" s="361" t="inlineStr">
        <is>
          <t>Основные материалы</t>
        </is>
      </c>
      <c r="C33" s="440" t="n"/>
      <c r="D33" s="440" t="n"/>
      <c r="E33" s="440" t="n"/>
      <c r="F33" s="440" t="n"/>
      <c r="G33" s="440" t="n"/>
      <c r="H33" s="441" t="n"/>
      <c r="I33" s="298" t="n"/>
      <c r="J33" s="298" t="n"/>
    </row>
    <row r="34" ht="14.25" customFormat="1" customHeight="1" s="276">
      <c r="A34" s="358" t="n">
        <v>7</v>
      </c>
      <c r="B34" s="255" t="inlineStr">
        <is>
          <t>БЦ.83.40</t>
        </is>
      </c>
      <c r="C34" s="366" t="inlineStr">
        <is>
          <t>Кабель медный 6 кВ 3х150 мм2</t>
        </is>
      </c>
      <c r="D34" s="358" t="inlineStr">
        <is>
          <t>км</t>
        </is>
      </c>
      <c r="E34" s="438" t="n">
        <v>3.3</v>
      </c>
      <c r="F34" s="368" t="n">
        <v>481251.73</v>
      </c>
      <c r="G34" s="195">
        <f>ROUND(E34*F34,2)</f>
        <v/>
      </c>
      <c r="H34" s="196">
        <f>G34/$G$42</f>
        <v/>
      </c>
      <c r="I34" s="195" t="n">
        <v>1946413.83</v>
      </c>
      <c r="J34" s="195">
        <f>ROUND(I34*E34,2)</f>
        <v/>
      </c>
    </row>
    <row r="35" ht="14.25" customFormat="1" customHeight="1" s="276">
      <c r="A35" s="360" t="n"/>
      <c r="B35" s="199" t="n"/>
      <c r="C35" s="200" t="inlineStr">
        <is>
          <t>Итого основные материалы</t>
        </is>
      </c>
      <c r="D35" s="360" t="n"/>
      <c r="E35" s="442" t="n"/>
      <c r="F35" s="201" t="n"/>
      <c r="G35" s="201">
        <f>SUM(G34:G34)</f>
        <v/>
      </c>
      <c r="H35" s="196">
        <f>G35/$G$42</f>
        <v/>
      </c>
      <c r="I35" s="195" t="n"/>
      <c r="J35" s="201">
        <f>SUM(J34:J34)</f>
        <v/>
      </c>
    </row>
    <row r="36" outlineLevel="1" ht="25.5" customFormat="1" customHeight="1" s="276">
      <c r="A36" s="358" t="n">
        <v>8</v>
      </c>
      <c r="B36" s="242" t="inlineStr">
        <is>
          <t>08.3.08.02-0052</t>
        </is>
      </c>
      <c r="C36" s="366" t="inlineStr">
        <is>
          <t>Уголок горячекатаный, марка стали ВСт3кп2, размер 50х50х5 мм</t>
        </is>
      </c>
      <c r="D36" s="358" t="inlineStr">
        <is>
          <t>т</t>
        </is>
      </c>
      <c r="E36" s="438" t="n">
        <v>0.1</v>
      </c>
      <c r="F36" s="195" t="n">
        <v>5763</v>
      </c>
      <c r="G36" s="195">
        <f>ROUND(E36*F36,2)</f>
        <v/>
      </c>
      <c r="H36" s="196">
        <f>G36/$G$42</f>
        <v/>
      </c>
      <c r="I36" s="195">
        <f>ROUND(F36*Прил.10!$D$13,2)</f>
        <v/>
      </c>
      <c r="J36" s="195">
        <f>ROUND(I36*E36,2)</f>
        <v/>
      </c>
    </row>
    <row r="37" outlineLevel="1" ht="14.25" customFormat="1" customHeight="1" s="276">
      <c r="A37" s="358" t="n">
        <v>9</v>
      </c>
      <c r="B37" s="242" t="inlineStr">
        <is>
          <t>14.4.02.09-0001</t>
        </is>
      </c>
      <c r="C37" s="366" t="inlineStr">
        <is>
          <t>Краска</t>
        </is>
      </c>
      <c r="D37" s="358" t="inlineStr">
        <is>
          <t>кг</t>
        </is>
      </c>
      <c r="E37" s="438" t="n">
        <v>2.5</v>
      </c>
      <c r="F37" s="195" t="n">
        <v>28.6</v>
      </c>
      <c r="G37" s="195">
        <f>ROUND(E37*F37,2)</f>
        <v/>
      </c>
      <c r="H37" s="196">
        <f>G37/$G$42</f>
        <v/>
      </c>
      <c r="I37" s="195">
        <f>ROUND(F37*Прил.10!$D$13,2)</f>
        <v/>
      </c>
      <c r="J37" s="195">
        <f>ROUND(I37*E37,2)</f>
        <v/>
      </c>
    </row>
    <row r="38" outlineLevel="1" ht="38.25" customFormat="1" customHeight="1" s="276">
      <c r="A38" s="358" t="n">
        <v>10</v>
      </c>
      <c r="B38" s="242" t="inlineStr">
        <is>
          <t>08.3.07.01-0076</t>
        </is>
      </c>
      <c r="C38" s="366" t="inlineStr">
        <is>
          <t>Прокат полосовой, горячекатаный, марка стали Ст3сп, ширина 50-200 мм, толщина 4-5 мм</t>
        </is>
      </c>
      <c r="D38" s="358" t="inlineStr">
        <is>
          <t>т</t>
        </is>
      </c>
      <c r="E38" s="438" t="n">
        <v>0.01</v>
      </c>
      <c r="F38" s="195" t="n">
        <v>5000</v>
      </c>
      <c r="G38" s="195">
        <f>ROUND(E38*F38,2)</f>
        <v/>
      </c>
      <c r="H38" s="196">
        <f>G38/$G$42</f>
        <v/>
      </c>
      <c r="I38" s="195">
        <f>ROUND(F38*Прил.10!$D$13,2)</f>
        <v/>
      </c>
      <c r="J38" s="195">
        <f>ROUND(I38*E38,2)</f>
        <v/>
      </c>
    </row>
    <row r="39" outlineLevel="1" ht="14.25" customFormat="1" customHeight="1" s="276">
      <c r="A39" s="358" t="n">
        <v>11</v>
      </c>
      <c r="B39" s="242" t="inlineStr">
        <is>
          <t>01.7.06.07-0002</t>
        </is>
      </c>
      <c r="C39" s="366" t="inlineStr">
        <is>
          <t>Лента монтажная, тип ЛМ-5</t>
        </is>
      </c>
      <c r="D39" s="358" t="inlineStr">
        <is>
          <t>10 м</t>
        </is>
      </c>
      <c r="E39" s="438" t="n">
        <v>0.96</v>
      </c>
      <c r="F39" s="195" t="n">
        <v>6.9</v>
      </c>
      <c r="G39" s="195">
        <f>ROUND(E39*F39,2)</f>
        <v/>
      </c>
      <c r="H39" s="196">
        <f>G39/$G$42</f>
        <v/>
      </c>
      <c r="I39" s="195">
        <f>ROUND(F39*Прил.10!$D$13,2)</f>
        <v/>
      </c>
      <c r="J39" s="195">
        <f>ROUND(I39*E39,2)</f>
        <v/>
      </c>
    </row>
    <row r="40" outlineLevel="1" ht="14.25" customFormat="1" customHeight="1" s="276">
      <c r="A40" s="358" t="n">
        <v>12</v>
      </c>
      <c r="B40" s="242" t="inlineStr">
        <is>
          <t>14.4.03.03-0002</t>
        </is>
      </c>
      <c r="C40" s="366" t="inlineStr">
        <is>
          <t>Лак битумный БТ-123</t>
        </is>
      </c>
      <c r="D40" s="358" t="inlineStr">
        <is>
          <t>т</t>
        </is>
      </c>
      <c r="E40" s="438" t="n">
        <v>0.0005999999999999999</v>
      </c>
      <c r="F40" s="195" t="n">
        <v>7826.9</v>
      </c>
      <c r="G40" s="195">
        <f>ROUND(E40*F40,2)</f>
        <v/>
      </c>
      <c r="H40" s="196">
        <f>G40/$G$42</f>
        <v/>
      </c>
      <c r="I40" s="195">
        <f>ROUND(F40*Прил.10!$D$13,2)</f>
        <v/>
      </c>
      <c r="J40" s="195">
        <f>ROUND(I40*E40,2)</f>
        <v/>
      </c>
    </row>
    <row r="41" ht="14.25" customFormat="1" customHeight="1" s="276">
      <c r="A41" s="358" t="n"/>
      <c r="B41" s="358" t="n"/>
      <c r="C41" s="366" t="inlineStr">
        <is>
          <t>Итого прочие материалы</t>
        </is>
      </c>
      <c r="D41" s="358" t="n"/>
      <c r="E41" s="438" t="n"/>
      <c r="F41" s="368" t="n"/>
      <c r="G41" s="195">
        <f>SUM(G36:G40)</f>
        <v/>
      </c>
      <c r="H41" s="196">
        <f>G41/$G$42</f>
        <v/>
      </c>
      <c r="I41" s="195" t="n"/>
      <c r="J41" s="195">
        <f>SUM(J36:J40)</f>
        <v/>
      </c>
    </row>
    <row r="42" ht="14.25" customFormat="1" customHeight="1" s="276">
      <c r="A42" s="358" t="n"/>
      <c r="B42" s="358" t="n"/>
      <c r="C42" s="365" t="inlineStr">
        <is>
          <t>Итого по разделу «Материалы»</t>
        </is>
      </c>
      <c r="D42" s="358" t="n"/>
      <c r="E42" s="367" t="n"/>
      <c r="F42" s="368" t="n"/>
      <c r="G42" s="195">
        <f>G35+G41</f>
        <v/>
      </c>
      <c r="H42" s="369">
        <f>G42/$G$42</f>
        <v/>
      </c>
      <c r="I42" s="195" t="n"/>
      <c r="J42" s="195">
        <f>J35+J41</f>
        <v/>
      </c>
    </row>
    <row r="43" ht="14.25" customFormat="1" customHeight="1" s="276">
      <c r="A43" s="358" t="n"/>
      <c r="B43" s="358" t="n"/>
      <c r="C43" s="366" t="inlineStr">
        <is>
          <t>ИТОГО ПО РМ</t>
        </is>
      </c>
      <c r="D43" s="358" t="n"/>
      <c r="E43" s="367" t="n"/>
      <c r="F43" s="368" t="n"/>
      <c r="G43" s="195">
        <f>G14+G25+G42</f>
        <v/>
      </c>
      <c r="H43" s="369" t="n"/>
      <c r="I43" s="195" t="n"/>
      <c r="J43" s="195">
        <f>J14+J25+J42</f>
        <v/>
      </c>
    </row>
    <row r="44" ht="14.25" customFormat="1" customHeight="1" s="276">
      <c r="A44" s="358" t="n"/>
      <c r="B44" s="358" t="n"/>
      <c r="C44" s="366" t="inlineStr">
        <is>
          <t>Накладные расходы</t>
        </is>
      </c>
      <c r="D44" s="193">
        <f>ROUND(G44/(G$16+$G$14),2)</f>
        <v/>
      </c>
      <c r="E44" s="367" t="n"/>
      <c r="F44" s="368" t="n"/>
      <c r="G44" s="195" t="n">
        <v>2077.06</v>
      </c>
      <c r="H44" s="369" t="n"/>
      <c r="I44" s="195" t="n"/>
      <c r="J44" s="195">
        <f>ROUND(D44*(J14+J16),2)</f>
        <v/>
      </c>
    </row>
    <row r="45" ht="14.25" customFormat="1" customHeight="1" s="276">
      <c r="A45" s="358" t="n"/>
      <c r="B45" s="358" t="n"/>
      <c r="C45" s="366" t="inlineStr">
        <is>
          <t>Сметная прибыль</t>
        </is>
      </c>
      <c r="D45" s="193">
        <f>ROUND(G45/(G$14+G$16),2)</f>
        <v/>
      </c>
      <c r="E45" s="367" t="n"/>
      <c r="F45" s="368" t="n"/>
      <c r="G45" s="195" t="n">
        <v>1092.06</v>
      </c>
      <c r="H45" s="369" t="n"/>
      <c r="I45" s="195" t="n"/>
      <c r="J45" s="195">
        <f>ROUND(D45*(J14+J16),2)</f>
        <v/>
      </c>
    </row>
    <row r="46" ht="14.25" customFormat="1" customHeight="1" s="276">
      <c r="A46" s="358" t="n"/>
      <c r="B46" s="358" t="n"/>
      <c r="C46" s="366" t="inlineStr">
        <is>
          <t>Итого СМР (с НР и СП)</t>
        </is>
      </c>
      <c r="D46" s="358" t="n"/>
      <c r="E46" s="367" t="n"/>
      <c r="F46" s="368" t="n"/>
      <c r="G46" s="195">
        <f>G14+G25+G42+G44+G45</f>
        <v/>
      </c>
      <c r="H46" s="369" t="n"/>
      <c r="I46" s="195" t="n"/>
      <c r="J46" s="195">
        <f>J14+J25+J42+J44+J45</f>
        <v/>
      </c>
    </row>
    <row r="47" ht="14.25" customFormat="1" customHeight="1" s="276">
      <c r="A47" s="358" t="n"/>
      <c r="B47" s="358" t="n"/>
      <c r="C47" s="366" t="inlineStr">
        <is>
          <t>ВСЕГО СМР + ОБОРУДОВАНИЕ</t>
        </is>
      </c>
      <c r="D47" s="358" t="n"/>
      <c r="E47" s="367" t="n"/>
      <c r="F47" s="368" t="n"/>
      <c r="G47" s="195">
        <f>G46+G30</f>
        <v/>
      </c>
      <c r="H47" s="369" t="n"/>
      <c r="I47" s="195" t="n"/>
      <c r="J47" s="195">
        <f>J46+J30</f>
        <v/>
      </c>
    </row>
    <row r="48" ht="34.5" customFormat="1" customHeight="1" s="276">
      <c r="A48" s="358" t="n"/>
      <c r="B48" s="358" t="n"/>
      <c r="C48" s="366" t="inlineStr">
        <is>
          <t>ИТОГО ПОКАЗАТЕЛЬ НА ЕД. ИЗМ.</t>
        </is>
      </c>
      <c r="D48" s="358" t="inlineStr">
        <is>
          <t>1 км</t>
        </is>
      </c>
      <c r="E48" s="438" t="n">
        <v>1</v>
      </c>
      <c r="F48" s="368" t="n"/>
      <c r="G48" s="195">
        <f>G47/E48</f>
        <v/>
      </c>
      <c r="H48" s="369" t="n"/>
      <c r="I48" s="195" t="n"/>
      <c r="J48" s="195">
        <f>J47/E48</f>
        <v/>
      </c>
    </row>
    <row r="50" ht="14.25" customFormat="1" customHeight="1" s="276">
      <c r="A50" s="275" t="inlineStr">
        <is>
          <t>Составил ______________________    А.Р. Маркова</t>
        </is>
      </c>
    </row>
    <row r="51" ht="14.25" customFormat="1" customHeight="1" s="276">
      <c r="A51" s="278" t="inlineStr">
        <is>
          <t xml:space="preserve">                         (подпись, инициалы, фамилия)</t>
        </is>
      </c>
    </row>
    <row r="52" ht="14.25" customFormat="1" customHeight="1" s="276">
      <c r="A52" s="275" t="n"/>
    </row>
    <row r="53" ht="14.25" customFormat="1" customHeight="1" s="276">
      <c r="A53" s="275" t="inlineStr">
        <is>
          <t>Проверил ______________________        А.В. Костянецкая</t>
        </is>
      </c>
    </row>
    <row r="54" ht="14.25" customFormat="1" customHeight="1" s="276">
      <c r="A54" s="27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E23" sqref="E23"/>
    </sheetView>
  </sheetViews>
  <sheetFormatPr baseColWidth="8" defaultRowHeight="15"/>
  <cols>
    <col width="5.7109375" customWidth="1" style="299" min="1" max="1"/>
    <col width="17.5703125" customWidth="1" style="299" min="2" max="2"/>
    <col width="39.140625" customWidth="1" style="299" min="3" max="3"/>
    <col width="10.7109375" customWidth="1" style="299" min="4" max="4"/>
    <col width="13.85546875" customWidth="1" style="299" min="5" max="5"/>
    <col width="13.28515625" customWidth="1" style="299" min="6" max="6"/>
    <col width="14.140625" customWidth="1" style="299" min="7" max="7"/>
  </cols>
  <sheetData>
    <row r="1">
      <c r="A1" s="374" t="inlineStr">
        <is>
          <t>Приложение №6</t>
        </is>
      </c>
    </row>
    <row r="2" ht="21.75" customHeight="1" s="299">
      <c r="A2" s="374" t="n"/>
      <c r="B2" s="374" t="n"/>
      <c r="C2" s="374" t="n"/>
      <c r="D2" s="374" t="n"/>
      <c r="E2" s="374" t="n"/>
      <c r="F2" s="374" t="n"/>
      <c r="G2" s="374" t="n"/>
    </row>
    <row r="3">
      <c r="A3" s="321" t="inlineStr">
        <is>
          <t>Расчет стоимости оборудования</t>
        </is>
      </c>
    </row>
    <row r="4">
      <c r="A4" s="375" t="inlineStr">
        <is>
          <t>Наименование разрабатываемого показателя УНЦ — КЛ 6 кВ (с медной жилой) сечение жилы 150 мм2</t>
        </is>
      </c>
    </row>
    <row r="5">
      <c r="A5" s="275" t="n"/>
      <c r="B5" s="275" t="n"/>
      <c r="C5" s="275" t="n"/>
      <c r="D5" s="275" t="n"/>
      <c r="E5" s="275" t="n"/>
      <c r="F5" s="275" t="n"/>
      <c r="G5" s="275" t="n"/>
    </row>
    <row r="6" ht="30.2" customHeight="1" s="299">
      <c r="A6" s="358" t="inlineStr">
        <is>
          <t>№ пп.</t>
        </is>
      </c>
      <c r="B6" s="358" t="inlineStr">
        <is>
          <t>Код ресурса</t>
        </is>
      </c>
      <c r="C6" s="358" t="inlineStr">
        <is>
          <t>Наименование</t>
        </is>
      </c>
      <c r="D6" s="358" t="inlineStr">
        <is>
          <t>Ед. изм.</t>
        </is>
      </c>
      <c r="E6" s="358" t="inlineStr">
        <is>
          <t>Кол-во единиц по проектным данным</t>
        </is>
      </c>
      <c r="F6" s="380" t="inlineStr">
        <is>
          <t>Сметная стоимость в ценах на 01.01.2000 (руб.)</t>
        </is>
      </c>
      <c r="G6" s="427" t="n"/>
    </row>
    <row r="7">
      <c r="A7" s="429" t="n"/>
      <c r="B7" s="429" t="n"/>
      <c r="C7" s="429" t="n"/>
      <c r="D7" s="429" t="n"/>
      <c r="E7" s="429" t="n"/>
      <c r="F7" s="358" t="inlineStr">
        <is>
          <t>на ед. изм.</t>
        </is>
      </c>
      <c r="G7" s="358" t="inlineStr">
        <is>
          <t>общая</t>
        </is>
      </c>
    </row>
    <row r="8">
      <c r="A8" s="358" t="n">
        <v>1</v>
      </c>
      <c r="B8" s="358" t="n">
        <v>2</v>
      </c>
      <c r="C8" s="358" t="n">
        <v>3</v>
      </c>
      <c r="D8" s="358" t="n">
        <v>4</v>
      </c>
      <c r="E8" s="358" t="n">
        <v>5</v>
      </c>
      <c r="F8" s="358" t="n">
        <v>6</v>
      </c>
      <c r="G8" s="358" t="n">
        <v>7</v>
      </c>
    </row>
    <row r="9" ht="15" customHeight="1" s="299">
      <c r="A9" s="219" t="n"/>
      <c r="B9" s="366" t="inlineStr">
        <is>
          <t>ИНЖЕНЕРНОЕ ОБОРУДОВАНИЕ</t>
        </is>
      </c>
      <c r="C9" s="426" t="n"/>
      <c r="D9" s="426" t="n"/>
      <c r="E9" s="426" t="n"/>
      <c r="F9" s="426" t="n"/>
      <c r="G9" s="427" t="n"/>
    </row>
    <row r="10" ht="27" customHeight="1" s="299">
      <c r="A10" s="358" t="n"/>
      <c r="B10" s="365" t="n"/>
      <c r="C10" s="366" t="inlineStr">
        <is>
          <t>ИТОГО ИНЖЕНЕРНОЕ ОБОРУДОВАНИЕ</t>
        </is>
      </c>
      <c r="D10" s="365" t="n"/>
      <c r="E10" s="148" t="n"/>
      <c r="F10" s="368" t="n"/>
      <c r="G10" s="368" t="n">
        <v>0</v>
      </c>
    </row>
    <row r="11">
      <c r="A11" s="358" t="n"/>
      <c r="B11" s="366" t="inlineStr">
        <is>
          <t>ТЕХНОЛОГИЧЕСКОЕ ОБОРУДОВАНИЕ</t>
        </is>
      </c>
      <c r="C11" s="426" t="n"/>
      <c r="D11" s="426" t="n"/>
      <c r="E11" s="426" t="n"/>
      <c r="F11" s="426" t="n"/>
      <c r="G11" s="427" t="n"/>
    </row>
    <row r="12" ht="25.5" customHeight="1" s="299">
      <c r="A12" s="358" t="n"/>
      <c r="B12" s="366" t="n"/>
      <c r="C12" s="366" t="inlineStr">
        <is>
          <t>ИТОГО ТЕХНОЛОГИЧЕСКОЕ ОБОРУДОВАНИЕ</t>
        </is>
      </c>
      <c r="D12" s="366" t="n"/>
      <c r="E12" s="379" t="n"/>
      <c r="F12" s="368" t="n"/>
      <c r="G12" s="195" t="n">
        <v>0</v>
      </c>
    </row>
    <row r="13" ht="19.5" customHeight="1" s="299">
      <c r="A13" s="358" t="n"/>
      <c r="B13" s="366" t="n"/>
      <c r="C13" s="366" t="inlineStr">
        <is>
          <t>Всего по разделу «Оборудование»</t>
        </is>
      </c>
      <c r="D13" s="366" t="n"/>
      <c r="E13" s="379" t="n"/>
      <c r="F13" s="368" t="n"/>
      <c r="G13" s="195">
        <f>G10+G12</f>
        <v/>
      </c>
    </row>
    <row r="14">
      <c r="A14" s="277" t="n"/>
      <c r="B14" s="151" t="n"/>
      <c r="C14" s="277" t="n"/>
      <c r="D14" s="277" t="n"/>
      <c r="E14" s="277" t="n"/>
      <c r="F14" s="277" t="n"/>
      <c r="G14" s="277" t="n"/>
    </row>
    <row r="15">
      <c r="A15" s="275" t="inlineStr">
        <is>
          <t>Составил ______________________    А.Р. Маркова</t>
        </is>
      </c>
      <c r="B15" s="276" t="n"/>
      <c r="C15" s="276" t="n"/>
      <c r="D15" s="277" t="n"/>
      <c r="E15" s="277" t="n"/>
      <c r="F15" s="277" t="n"/>
      <c r="G15" s="277" t="n"/>
    </row>
    <row r="16">
      <c r="A16" s="278" t="inlineStr">
        <is>
          <t xml:space="preserve">                         (подпись, инициалы, фамилия)</t>
        </is>
      </c>
      <c r="B16" s="276" t="n"/>
      <c r="C16" s="276" t="n"/>
      <c r="D16" s="277" t="n"/>
      <c r="E16" s="277" t="n"/>
      <c r="F16" s="277" t="n"/>
      <c r="G16" s="277" t="n"/>
    </row>
    <row r="17">
      <c r="A17" s="275" t="n"/>
      <c r="B17" s="276" t="n"/>
      <c r="C17" s="276" t="n"/>
      <c r="D17" s="277" t="n"/>
      <c r="E17" s="277" t="n"/>
      <c r="F17" s="277" t="n"/>
      <c r="G17" s="277" t="n"/>
    </row>
    <row r="18">
      <c r="A18" s="275" t="inlineStr">
        <is>
          <t>Проверил ______________________        А.В. Костянецкая</t>
        </is>
      </c>
      <c r="B18" s="276" t="n"/>
      <c r="C18" s="276" t="n"/>
      <c r="D18" s="277" t="n"/>
      <c r="E18" s="277" t="n"/>
      <c r="F18" s="277" t="n"/>
      <c r="G18" s="277" t="n"/>
    </row>
    <row r="19">
      <c r="A19" s="278" t="inlineStr">
        <is>
          <t xml:space="preserve">                        (подпись, инициалы, фамилия)</t>
        </is>
      </c>
      <c r="B19" s="276" t="n"/>
      <c r="C19" s="276" t="n"/>
      <c r="D19" s="277" t="n"/>
      <c r="E19" s="277" t="n"/>
      <c r="F19" s="277" t="n"/>
      <c r="G19" s="27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9" min="1" max="1"/>
    <col width="22.42578125" customWidth="1" style="299" min="2" max="2"/>
    <col width="37.140625" customWidth="1" style="299" min="3" max="3"/>
    <col width="49" customWidth="1" style="299" min="4" max="4"/>
    <col width="9.140625" customWidth="1" style="299" min="5" max="5"/>
  </cols>
  <sheetData>
    <row r="1" ht="15.75" customHeight="1" s="299">
      <c r="A1" s="301" t="n"/>
      <c r="B1" s="301" t="n"/>
      <c r="C1" s="301" t="n"/>
      <c r="D1" s="301" t="inlineStr">
        <is>
          <t>Приложение №7</t>
        </is>
      </c>
    </row>
    <row r="2" ht="15.75" customHeight="1" s="299">
      <c r="A2" s="301" t="n"/>
      <c r="B2" s="301" t="n"/>
      <c r="C2" s="301" t="n"/>
      <c r="D2" s="301" t="n"/>
    </row>
    <row r="3" ht="15.75" customHeight="1" s="299">
      <c r="A3" s="301" t="n"/>
      <c r="B3" s="270" t="inlineStr">
        <is>
          <t>Расчет показателя УНЦ</t>
        </is>
      </c>
      <c r="C3" s="301" t="n"/>
      <c r="D3" s="301" t="n"/>
    </row>
    <row r="4" ht="15.75" customHeight="1" s="299">
      <c r="A4" s="301" t="n"/>
      <c r="B4" s="301" t="n"/>
      <c r="C4" s="301" t="n"/>
      <c r="D4" s="301" t="n"/>
    </row>
    <row r="5" ht="31.5" customHeight="1" s="299">
      <c r="A5" s="381" t="inlineStr">
        <is>
          <t xml:space="preserve">Наименование разрабатываемого показателя УНЦ - </t>
        </is>
      </c>
      <c r="D5" s="381">
        <f>'Прил.5 Расчет СМР и ОБ'!D6:J6</f>
        <v/>
      </c>
    </row>
    <row r="6" ht="15.75" customHeight="1" s="299">
      <c r="A6" s="301" t="inlineStr">
        <is>
          <t>Единица измерения  — 1 км</t>
        </is>
      </c>
      <c r="B6" s="301" t="n"/>
      <c r="C6" s="301" t="n"/>
      <c r="D6" s="301" t="n"/>
    </row>
    <row r="7" ht="15.75" customHeight="1" s="299">
      <c r="A7" s="301" t="n"/>
      <c r="B7" s="301" t="n"/>
      <c r="C7" s="301" t="n"/>
      <c r="D7" s="301" t="n"/>
    </row>
    <row r="8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>
      <c r="A9" s="429" t="n"/>
      <c r="B9" s="429" t="n"/>
      <c r="C9" s="429" t="n"/>
      <c r="D9" s="429" t="n"/>
    </row>
    <row r="10" ht="15.75" customHeight="1" s="299">
      <c r="A10" s="351" t="n">
        <v>1</v>
      </c>
      <c r="B10" s="351" t="n">
        <v>2</v>
      </c>
      <c r="C10" s="351" t="n">
        <v>3</v>
      </c>
      <c r="D10" s="351" t="n">
        <v>4</v>
      </c>
    </row>
    <row r="11" ht="31.5" customHeight="1" s="299">
      <c r="A11" s="351" t="inlineStr">
        <is>
          <t>К2-06-1</t>
        </is>
      </c>
      <c r="B11" s="351" t="inlineStr">
        <is>
          <t xml:space="preserve">УНЦ КЛ 6 - 500 кВ (с медной жилой) </t>
        </is>
      </c>
      <c r="C11" s="287">
        <f>D5</f>
        <v/>
      </c>
      <c r="D11" s="307">
        <f>'Прил.4 РМ'!C41/1000</f>
        <v/>
      </c>
    </row>
    <row r="13">
      <c r="A13" s="275" t="inlineStr">
        <is>
          <t>Составил ______________________    А.Р. Маркова</t>
        </is>
      </c>
      <c r="B13" s="276" t="n"/>
      <c r="C13" s="276" t="n"/>
      <c r="D13" s="277" t="n"/>
    </row>
    <row r="14">
      <c r="A14" s="278" t="inlineStr">
        <is>
          <t xml:space="preserve">                         (подпись, инициалы, фамилия)</t>
        </is>
      </c>
      <c r="B14" s="276" t="n"/>
      <c r="C14" s="276" t="n"/>
      <c r="D14" s="277" t="n"/>
    </row>
    <row r="15">
      <c r="A15" s="275" t="n"/>
      <c r="B15" s="276" t="n"/>
      <c r="C15" s="276" t="n"/>
      <c r="D15" s="277" t="n"/>
    </row>
    <row r="16">
      <c r="A16" s="275" t="inlineStr">
        <is>
          <t>Проверил ______________________        А.В. Костянецкая</t>
        </is>
      </c>
      <c r="B16" s="276" t="n"/>
      <c r="C16" s="276" t="n"/>
      <c r="D16" s="277" t="n"/>
    </row>
    <row r="17" ht="20.25" customHeight="1" s="299">
      <c r="A17" s="278" t="inlineStr">
        <is>
          <t xml:space="preserve">                        (подпись, инициалы, фамилия)</t>
        </is>
      </c>
      <c r="B17" s="276" t="n"/>
      <c r="C17" s="276" t="n"/>
      <c r="D17" s="27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299" min="1" max="1"/>
    <col width="40.7109375" customWidth="1" style="299" min="2" max="2"/>
    <col width="38.7109375" customWidth="1" style="299" min="3" max="3"/>
    <col width="32" customWidth="1" style="299" min="4" max="4"/>
    <col width="9.140625" customWidth="1" style="299" min="5" max="5"/>
  </cols>
  <sheetData>
    <row r="4" ht="15.75" customHeight="1" s="299">
      <c r="B4" s="331" t="inlineStr">
        <is>
          <t>Приложение № 10</t>
        </is>
      </c>
    </row>
    <row r="5" ht="18.75" customHeight="1" s="299">
      <c r="B5" s="172" t="n"/>
    </row>
    <row r="6" ht="15.75" customHeight="1" s="299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B7" s="382" t="n"/>
    </row>
    <row r="8">
      <c r="B8" s="382" t="n"/>
      <c r="C8" s="382" t="n"/>
      <c r="D8" s="382" t="n"/>
      <c r="E8" s="382" t="n"/>
    </row>
    <row r="9" ht="47.25" customHeight="1" s="299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299">
      <c r="B10" s="351" t="n">
        <v>1</v>
      </c>
      <c r="C10" s="351" t="n">
        <v>2</v>
      </c>
      <c r="D10" s="351" t="n">
        <v>3</v>
      </c>
    </row>
    <row r="11" ht="31.5" customHeight="1" s="299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31.5" customHeight="1" s="299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10.84</v>
      </c>
    </row>
    <row r="13" ht="31.5" customHeight="1" s="299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5.34</v>
      </c>
    </row>
    <row r="14" ht="31.5" customHeight="1" s="299">
      <c r="B14" s="351" t="inlineStr">
        <is>
          <t>Индекс изменения сметной стоимости на 1 квартал 2023 года. ОБ</t>
        </is>
      </c>
      <c r="C14" s="351" t="inlineStr">
        <is>
          <t>Письмо Минстроя России от 23.02.2023г. №9791-ИФ/09 прил.6</t>
        </is>
      </c>
      <c r="D14" s="351" t="n">
        <v>6.26</v>
      </c>
    </row>
    <row r="15" ht="89.45" customHeight="1" s="299">
      <c r="B15" s="351" t="inlineStr">
        <is>
          <t>Временные здания и сооружения</t>
        </is>
      </c>
      <c r="C15" s="35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9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9">
      <c r="B17" s="351" t="inlineStr">
        <is>
          <t>Пусконаладочные работы*</t>
        </is>
      </c>
      <c r="C17" s="351" t="n"/>
      <c r="D17" s="351" t="inlineStr">
        <is>
          <t>Расчет</t>
        </is>
      </c>
    </row>
    <row r="18" ht="31.7" customHeight="1" s="299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175" t="n">
        <v>0.0214</v>
      </c>
    </row>
    <row r="19" ht="31.7" customHeight="1" s="299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175" t="n">
        <v>0.002</v>
      </c>
    </row>
    <row r="20" ht="24" customHeight="1" s="299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175" t="n">
        <v>0.03</v>
      </c>
    </row>
    <row r="21" ht="18.75" customHeight="1" s="299">
      <c r="B21" s="232" t="n"/>
    </row>
    <row r="22" ht="18.75" customHeight="1" s="299">
      <c r="B22" s="232" t="n"/>
    </row>
    <row r="23" ht="18.75" customHeight="1" s="299">
      <c r="B23" s="232" t="n"/>
    </row>
    <row r="24" ht="18.75" customHeight="1" s="299">
      <c r="B24" s="232" t="n"/>
    </row>
    <row r="27">
      <c r="B27" s="275" t="inlineStr">
        <is>
          <t>Составил ______________________        Е.А. Князева</t>
        </is>
      </c>
      <c r="C27" s="276" t="n"/>
    </row>
    <row r="28">
      <c r="B28" s="278" t="inlineStr">
        <is>
          <t xml:space="preserve">                         (подпись, инициалы, фамилия)</t>
        </is>
      </c>
      <c r="C28" s="276" t="n"/>
    </row>
    <row r="29">
      <c r="B29" s="275" t="n"/>
      <c r="C29" s="276" t="n"/>
    </row>
    <row r="30">
      <c r="B30" s="275" t="inlineStr">
        <is>
          <t>Проверил ______________________        А.В. Костянецкая</t>
        </is>
      </c>
      <c r="C30" s="276" t="n"/>
    </row>
    <row r="31">
      <c r="B31" s="278" t="inlineStr">
        <is>
          <t xml:space="preserve">                        (подпись, инициалы, фамилия)</t>
        </is>
      </c>
      <c r="C31" s="27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R24" sqref="R24"/>
    </sheetView>
  </sheetViews>
  <sheetFormatPr baseColWidth="8" defaultColWidth="9.140625" defaultRowHeight="15"/>
  <cols>
    <col width="44.85546875" customWidth="1" style="299" min="2" max="2"/>
    <col width="13" customWidth="1" style="299" min="3" max="3"/>
    <col width="22.85546875" customWidth="1" style="299" min="4" max="4"/>
    <col width="21.5703125" customWidth="1" style="299" min="5" max="5"/>
    <col width="43.85546875" customWidth="1" style="299" min="6" max="6"/>
  </cols>
  <sheetData>
    <row r="1" s="299"/>
    <row r="2" ht="17.25" customHeight="1" s="299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9"/>
    <row r="4" ht="18" customHeight="1" s="299">
      <c r="A4" s="300" t="inlineStr">
        <is>
          <t>Составлен в уровне цен на 01.01.2023 г.</t>
        </is>
      </c>
      <c r="B4" s="301" t="n"/>
      <c r="C4" s="301" t="n"/>
      <c r="D4" s="301" t="n"/>
      <c r="E4" s="301" t="n"/>
      <c r="F4" s="301" t="n"/>
      <c r="G4" s="301" t="n"/>
    </row>
    <row r="5" ht="15.75" customHeight="1" s="299">
      <c r="A5" s="302" t="inlineStr">
        <is>
          <t>№ пп.</t>
        </is>
      </c>
      <c r="B5" s="302" t="inlineStr">
        <is>
          <t>Наименование элемента</t>
        </is>
      </c>
      <c r="C5" s="302" t="inlineStr">
        <is>
          <t>Обозначение</t>
        </is>
      </c>
      <c r="D5" s="302" t="inlineStr">
        <is>
          <t>Формула</t>
        </is>
      </c>
      <c r="E5" s="302" t="inlineStr">
        <is>
          <t>Величина элемента</t>
        </is>
      </c>
      <c r="F5" s="302" t="inlineStr">
        <is>
          <t>Наименования обосновывающих документов</t>
        </is>
      </c>
      <c r="G5" s="301" t="n"/>
    </row>
    <row r="6" ht="15.75" customHeight="1" s="299">
      <c r="A6" s="302" t="n">
        <v>1</v>
      </c>
      <c r="B6" s="302" t="n">
        <v>2</v>
      </c>
      <c r="C6" s="302" t="n">
        <v>3</v>
      </c>
      <c r="D6" s="302" t="n">
        <v>4</v>
      </c>
      <c r="E6" s="302" t="n">
        <v>5</v>
      </c>
      <c r="F6" s="302" t="n">
        <v>6</v>
      </c>
      <c r="G6" s="301" t="n"/>
    </row>
    <row r="7" ht="110.25" customHeight="1" s="299">
      <c r="A7" s="303" t="inlineStr">
        <is>
          <t>1.1</t>
        </is>
      </c>
      <c r="B7" s="3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06" t="n">
        <v>47872.94</v>
      </c>
      <c r="F7" s="3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1" t="n"/>
    </row>
    <row r="8" ht="31.5" customHeight="1" s="299">
      <c r="A8" s="303" t="inlineStr">
        <is>
          <t>1.2</t>
        </is>
      </c>
      <c r="B8" s="308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07">
        <f>1973/12</f>
        <v/>
      </c>
      <c r="F8" s="308" t="inlineStr">
        <is>
          <t>Производственный календарь 2023 год
(40-часов.неделя)</t>
        </is>
      </c>
      <c r="G8" s="310" t="n"/>
    </row>
    <row r="9" ht="15.75" customHeight="1" s="299">
      <c r="A9" s="303" t="inlineStr">
        <is>
          <t>1.3</t>
        </is>
      </c>
      <c r="B9" s="308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07" t="n">
        <v>1</v>
      </c>
      <c r="F9" s="308" t="n"/>
      <c r="G9" s="310" t="n"/>
    </row>
    <row r="10" ht="15.75" customHeight="1" s="299">
      <c r="A10" s="303" t="inlineStr">
        <is>
          <t>1.4</t>
        </is>
      </c>
      <c r="B10" s="308" t="inlineStr">
        <is>
          <t>Средний разряд работ</t>
        </is>
      </c>
      <c r="C10" s="351" t="n"/>
      <c r="D10" s="351" t="n"/>
      <c r="E10" s="443" t="n">
        <v>3.8</v>
      </c>
      <c r="F10" s="308" t="inlineStr">
        <is>
          <t>РТМ</t>
        </is>
      </c>
      <c r="G10" s="310" t="n"/>
    </row>
    <row r="11" ht="78.75" customHeight="1" s="299">
      <c r="A11" s="303" t="inlineStr">
        <is>
          <t>1.5</t>
        </is>
      </c>
      <c r="B11" s="308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44" t="n">
        <v>1.308</v>
      </c>
      <c r="F11" s="3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1" t="n"/>
    </row>
    <row r="12" ht="78.75" customHeight="1" s="299">
      <c r="A12" s="303" t="inlineStr">
        <is>
          <t>1.6</t>
        </is>
      </c>
      <c r="B12" s="350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45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0" t="n"/>
    </row>
    <row r="13" ht="63" customHeight="1" s="299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2025-01-24T12:05:20Z</dcterms:modified>
  <cp:lastModifiedBy>REDMIBOOK</cp:lastModifiedBy>
  <cp:lastPrinted>2023-11-30T03:31:52Z</cp:lastPrinted>
</cp:coreProperties>
</file>