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0" fontId="16" fillId="0" borderId="0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18" min="1" max="2"/>
    <col width="51.7109375" customWidth="1" style="318" min="3" max="3"/>
    <col width="47" customWidth="1" style="318" min="4" max="4"/>
    <col width="37.42578125" customWidth="1" style="318" min="5" max="5"/>
    <col width="9.140625" customWidth="1" style="31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1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6">
      <c r="B6" s="252" t="n"/>
      <c r="C6" s="252" t="n"/>
      <c r="D6" s="252" t="n"/>
    </row>
    <row r="7">
      <c r="B7" s="350" t="inlineStr">
        <is>
          <t>Наименование разрабатываемого показателя УНЦ - КЛ 6 кВ (с медной жилой) сечение жилы 240 мм2</t>
        </is>
      </c>
    </row>
    <row r="8">
      <c r="B8" s="350" t="inlineStr">
        <is>
          <t>Сопоставимый уровень цен: 2 квартал 2018 года</t>
        </is>
      </c>
    </row>
    <row r="9" ht="15.75" customHeight="1" s="316">
      <c r="B9" s="350" t="inlineStr">
        <is>
          <t>Единица измерения  — 1 км</t>
        </is>
      </c>
    </row>
    <row r="10">
      <c r="B10" s="350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16">
      <c r="B12" s="365" t="n">
        <v>1</v>
      </c>
      <c r="C12" s="370" t="inlineStr">
        <is>
          <t>Наименование объекта-представителя</t>
        </is>
      </c>
      <c r="D12" s="36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5" t="n">
        <v>2</v>
      </c>
      <c r="C13" s="370" t="inlineStr">
        <is>
          <t>Наименование субъекта Российской Федерации</t>
        </is>
      </c>
      <c r="D13" s="365" t="inlineStr">
        <is>
          <t>Челябинская область</t>
        </is>
      </c>
    </row>
    <row r="14">
      <c r="B14" s="365" t="n">
        <v>3</v>
      </c>
      <c r="C14" s="370" t="inlineStr">
        <is>
          <t>Климатический район и подрайон</t>
        </is>
      </c>
      <c r="D14" s="365" t="inlineStr">
        <is>
          <t>IВ</t>
        </is>
      </c>
    </row>
    <row r="15">
      <c r="B15" s="365" t="n">
        <v>4</v>
      </c>
      <c r="C15" s="370" t="inlineStr">
        <is>
          <t>Мощность объекта</t>
        </is>
      </c>
      <c r="D15" s="365" t="n">
        <v>1</v>
      </c>
    </row>
    <row r="16" ht="63" customHeight="1" s="316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медный 6кВ 3х240 мм2</t>
        </is>
      </c>
    </row>
    <row r="17" ht="63" customHeight="1" s="316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3">
        <f>SUM(D18:D21)</f>
        <v/>
      </c>
      <c r="E17" s="251" t="n"/>
    </row>
    <row r="18">
      <c r="B18" s="301" t="inlineStr">
        <is>
          <t>6.1</t>
        </is>
      </c>
      <c r="C18" s="370" t="inlineStr">
        <is>
          <t>строительно-монтажные работы</t>
        </is>
      </c>
      <c r="D18" s="303" t="n">
        <v>1173.59</v>
      </c>
    </row>
    <row r="19" ht="15.75" customHeight="1" s="316">
      <c r="B19" s="301" t="inlineStr">
        <is>
          <t>6.2</t>
        </is>
      </c>
      <c r="C19" s="370" t="inlineStr">
        <is>
          <t>оборудование и инвентарь</t>
        </is>
      </c>
      <c r="D19" s="303" t="n">
        <v>0</v>
      </c>
    </row>
    <row r="20" ht="16.5" customHeight="1" s="316">
      <c r="B20" s="301" t="inlineStr">
        <is>
          <t>6.3</t>
        </is>
      </c>
      <c r="C20" s="370" t="inlineStr">
        <is>
          <t>пусконаладочные работы</t>
        </is>
      </c>
      <c r="D20" s="303" t="n">
        <v>0</v>
      </c>
    </row>
    <row r="21">
      <c r="B21" s="301" t="inlineStr">
        <is>
          <t>6.4</t>
        </is>
      </c>
      <c r="C21" s="231" t="inlineStr">
        <is>
          <t>прочие и лимитированные затраты</t>
        </is>
      </c>
      <c r="D21" s="303">
        <f>D18*2.5%+(D18+D18*2.5%)*2.9%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299" t="inlineStr">
        <is>
          <t xml:space="preserve">2 квартал 2018 года </t>
        </is>
      </c>
      <c r="E22" s="229" t="n"/>
    </row>
    <row r="23" ht="78.75" customHeight="1" s="316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3">
        <f>D17</f>
        <v/>
      </c>
      <c r="E23" s="251" t="n"/>
    </row>
    <row r="24" ht="31.5" customHeight="1" s="316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3" t="n">
        <v>1237.81471275</v>
      </c>
      <c r="E24" s="229" t="n"/>
    </row>
    <row r="25">
      <c r="B25" s="365" t="n">
        <v>10</v>
      </c>
      <c r="C25" s="370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16">
      <c r="B27" s="225" t="n"/>
    </row>
    <row r="28">
      <c r="B28" s="318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18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18" min="1" max="1"/>
    <col width="9.140625" customWidth="1" style="318" min="2" max="2"/>
    <col width="35.28515625" customWidth="1" style="318" min="3" max="3"/>
    <col width="13.85546875" customWidth="1" style="318" min="4" max="4"/>
    <col width="24.85546875" customWidth="1" style="318" min="5" max="5"/>
    <col width="15.5703125" customWidth="1" style="318" min="6" max="6"/>
    <col width="14.85546875" customWidth="1" style="318" min="7" max="7"/>
    <col width="16.7109375" customWidth="1" style="318" min="8" max="8"/>
    <col width="13" customWidth="1" style="318" min="9" max="10"/>
    <col width="18" customWidth="1" style="318" min="11" max="11"/>
    <col width="9.140625" customWidth="1" style="318" min="12" max="12"/>
  </cols>
  <sheetData>
    <row r="3">
      <c r="B3" s="348" t="inlineStr">
        <is>
          <t>Приложение № 2</t>
        </is>
      </c>
      <c r="K3" s="225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364" t="n"/>
      <c r="C5" s="364" t="n"/>
      <c r="D5" s="364" t="n"/>
      <c r="E5" s="364" t="n"/>
      <c r="F5" s="364" t="n"/>
      <c r="G5" s="364" t="n"/>
      <c r="H5" s="364" t="n"/>
      <c r="I5" s="364" t="n"/>
      <c r="J5" s="364" t="n"/>
      <c r="K5" s="364" t="n"/>
    </row>
    <row r="6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6">
      <c r="B8" s="253" t="n"/>
    </row>
    <row r="9" ht="15.75" customHeight="1" s="316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16">
      <c r="B10" s="445" t="n"/>
      <c r="C10" s="445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</row>
    <row r="11" ht="31.5" customHeight="1" s="316">
      <c r="B11" s="446" t="n"/>
      <c r="C11" s="446" t="n"/>
      <c r="D11" s="446" t="n"/>
      <c r="E11" s="446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220.5" customHeight="1" s="316">
      <c r="B12" s="365" t="n">
        <v>1</v>
      </c>
      <c r="C12" s="365" t="inlineStr">
        <is>
          <t>Кабель медный 6кВ 3х240 мм2</t>
        </is>
      </c>
      <c r="D12" s="301" t="inlineStr">
        <is>
          <t>02-01-05</t>
        </is>
      </c>
      <c r="E12" s="36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03" t="n"/>
      <c r="G12" s="303">
        <f>1173594.521/1000</f>
        <v/>
      </c>
      <c r="H12" s="303" t="n"/>
      <c r="I12" s="303" t="n"/>
      <c r="J12" s="303">
        <f>SUM(F12:I12)</f>
        <v/>
      </c>
    </row>
    <row r="13" ht="15" customHeight="1" s="316">
      <c r="B13" s="447" t="inlineStr">
        <is>
          <t>Всего по объекту:</t>
        </is>
      </c>
      <c r="C13" s="448" t="n"/>
      <c r="D13" s="448" t="n"/>
      <c r="E13" s="449" t="n"/>
      <c r="F13" s="304" t="n"/>
      <c r="G13" s="304">
        <f>SUM(G12)</f>
        <v/>
      </c>
      <c r="H13" s="304" t="n"/>
      <c r="I13" s="304" t="n"/>
      <c r="J13" s="304">
        <f>SUM(J12)</f>
        <v/>
      </c>
    </row>
    <row r="14" ht="15.75" customHeight="1" s="316">
      <c r="B14" s="450" t="inlineStr">
        <is>
          <t>Всего по объекту в сопоставимом уровне цен 2 кв. 2018 г:</t>
        </is>
      </c>
      <c r="C14" s="443" t="n"/>
      <c r="D14" s="443" t="n"/>
      <c r="E14" s="444" t="n"/>
      <c r="F14" s="305" t="n"/>
      <c r="G14" s="305">
        <f>G13</f>
        <v/>
      </c>
      <c r="H14" s="305" t="n"/>
      <c r="I14" s="305" t="n"/>
      <c r="J14" s="305">
        <f>J13</f>
        <v/>
      </c>
    </row>
    <row r="15" ht="15" customHeight="1" s="316"/>
    <row r="16" ht="15" customHeight="1" s="316"/>
    <row r="17" ht="15" customHeight="1" s="316"/>
    <row r="18" ht="15" customHeight="1" s="316">
      <c r="C18" s="289" t="inlineStr">
        <is>
          <t>Составил ______________________     А.Р. Маркова</t>
        </is>
      </c>
      <c r="D18" s="290" t="n"/>
      <c r="E18" s="290" t="n"/>
    </row>
    <row r="19" ht="15" customHeight="1" s="316">
      <c r="C19" s="292" t="inlineStr">
        <is>
          <t xml:space="preserve">                         (подпись, инициалы, фамилия)</t>
        </is>
      </c>
      <c r="D19" s="290" t="n"/>
      <c r="E19" s="290" t="n"/>
    </row>
    <row r="20" ht="15" customHeight="1" s="316">
      <c r="C20" s="289" t="n"/>
      <c r="D20" s="290" t="n"/>
      <c r="E20" s="290" t="n"/>
    </row>
    <row r="21" ht="15" customHeight="1" s="316">
      <c r="C21" s="289" t="inlineStr">
        <is>
          <t>Проверил ______________________        А.В. Костянецкая</t>
        </is>
      </c>
      <c r="D21" s="290" t="n"/>
      <c r="E21" s="290" t="n"/>
    </row>
    <row r="22" ht="15" customHeight="1" s="316">
      <c r="C22" s="292" t="inlineStr">
        <is>
          <t xml:space="preserve">                        (подпись, инициалы, фамилия)</t>
        </is>
      </c>
      <c r="D22" s="290" t="n"/>
      <c r="E22" s="290" t="n"/>
    </row>
    <row r="23" ht="15" customHeight="1" s="316"/>
    <row r="24" ht="15" customHeight="1" s="316"/>
    <row r="25" ht="15" customHeight="1" s="316"/>
    <row r="26" ht="15" customHeight="1" s="316"/>
    <row r="27" ht="15" customHeight="1" s="316"/>
    <row r="28" ht="15" customHeight="1" s="3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zoomScale="70" zoomScaleSheetLayoutView="70" workbookViewId="0">
      <selection activeCell="D29" sqref="D29"/>
    </sheetView>
  </sheetViews>
  <sheetFormatPr baseColWidth="8" defaultColWidth="9.140625" defaultRowHeight="15.75"/>
  <cols>
    <col width="9.140625" customWidth="1" style="318" min="1" max="1"/>
    <col width="12.5703125" customWidth="1" style="318" min="2" max="2"/>
    <col width="22.42578125" customWidth="1" style="318" min="3" max="3"/>
    <col width="49.7109375" customWidth="1" style="318" min="4" max="4"/>
    <col width="10.140625" customWidth="1" style="318" min="5" max="5"/>
    <col width="20.7109375" customWidth="1" style="318" min="6" max="6"/>
    <col width="20" customWidth="1" style="318" min="7" max="7"/>
    <col width="16.7109375" customWidth="1" style="318" min="8" max="8"/>
    <col width="9.140625" customWidth="1" style="318" min="9" max="10"/>
    <col width="15" customWidth="1" style="318" min="11" max="11"/>
    <col width="9.140625" customWidth="1" style="318" min="12" max="12"/>
  </cols>
  <sheetData>
    <row r="2" s="316">
      <c r="A2" s="318" t="n"/>
      <c r="B2" s="318" t="n"/>
      <c r="C2" s="318" t="n"/>
      <c r="D2" s="318" t="n"/>
      <c r="E2" s="318" t="n"/>
      <c r="F2" s="318" t="n"/>
      <c r="G2" s="318" t="n"/>
      <c r="H2" s="318" t="n"/>
      <c r="I2" s="318" t="n"/>
      <c r="J2" s="318" t="n"/>
      <c r="K2" s="318" t="n"/>
      <c r="L2" s="318" t="n"/>
    </row>
    <row r="3">
      <c r="A3" s="348" t="inlineStr">
        <is>
          <t xml:space="preserve">Приложение № 3 </t>
        </is>
      </c>
    </row>
    <row r="4">
      <c r="A4" s="349" t="inlineStr">
        <is>
          <t>Объектная ресурсная ведомость</t>
        </is>
      </c>
    </row>
    <row r="5" ht="18.75" customHeight="1" s="316">
      <c r="A5" s="261" t="n"/>
      <c r="B5" s="261" t="n"/>
      <c r="C5" s="366" t="n"/>
    </row>
    <row r="6">
      <c r="A6" s="350" t="n"/>
    </row>
    <row r="7">
      <c r="A7" s="364" t="inlineStr">
        <is>
          <t>Наименование разрабатываемого показателя УНЦ -  КЛ 6 кВ (с медной жилой) сечение жилы 240 мм2</t>
        </is>
      </c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38.25" customHeight="1" s="316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4" t="n"/>
    </row>
    <row r="10" ht="40.5" customHeight="1" s="316">
      <c r="A10" s="446" t="n"/>
      <c r="B10" s="446" t="n"/>
      <c r="C10" s="446" t="n"/>
      <c r="D10" s="446" t="n"/>
      <c r="E10" s="446" t="n"/>
      <c r="F10" s="446" t="n"/>
      <c r="G10" s="365" t="inlineStr">
        <is>
          <t>на ед.изм.</t>
        </is>
      </c>
      <c r="H10" s="365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83">
      <c r="A12" s="368" t="inlineStr">
        <is>
          <t>Затраты труда рабочих</t>
        </is>
      </c>
      <c r="B12" s="443" t="n"/>
      <c r="C12" s="443" t="n"/>
      <c r="D12" s="443" t="n"/>
      <c r="E12" s="444" t="n"/>
      <c r="F12" s="451">
        <f>SUM(F13:F13)</f>
        <v/>
      </c>
      <c r="G12" s="259" t="n"/>
      <c r="H12" s="451">
        <f>SUM(H13:H13)</f>
        <v/>
      </c>
    </row>
    <row r="13">
      <c r="A13" s="379" t="n">
        <v>1</v>
      </c>
      <c r="B13" s="310" t="n"/>
      <c r="C13" s="265" t="inlineStr">
        <is>
          <t>1-3-8</t>
        </is>
      </c>
      <c r="D13" s="378" t="inlineStr">
        <is>
          <t>Затраты труда рабочих (средний разряд работы 3,8)</t>
        </is>
      </c>
      <c r="E13" s="379" t="inlineStr">
        <is>
          <t>чел.-ч</t>
        </is>
      </c>
      <c r="F13" s="379" t="n">
        <v>184</v>
      </c>
      <c r="G13" s="452" t="n">
        <v>9.4</v>
      </c>
      <c r="H13" s="207">
        <f>ROUND(F13*G13,2)</f>
        <v/>
      </c>
      <c r="M13" s="453" t="n"/>
    </row>
    <row r="14">
      <c r="A14" s="367" t="inlineStr">
        <is>
          <t>Затраты труда машинистов</t>
        </is>
      </c>
      <c r="B14" s="443" t="n"/>
      <c r="C14" s="443" t="n"/>
      <c r="D14" s="443" t="n"/>
      <c r="E14" s="444" t="n"/>
      <c r="F14" s="368" t="n"/>
      <c r="G14" s="313" t="n"/>
      <c r="H14" s="451">
        <f>H15</f>
        <v/>
      </c>
    </row>
    <row r="15">
      <c r="A15" s="379" t="n">
        <v>2</v>
      </c>
      <c r="B15" s="369" t="n"/>
      <c r="C15" s="265" t="n">
        <v>2</v>
      </c>
      <c r="D15" s="378" t="inlineStr">
        <is>
          <t>Затраты труда машинистов</t>
        </is>
      </c>
      <c r="E15" s="379" t="inlineStr">
        <is>
          <t>чел.-ч</t>
        </is>
      </c>
      <c r="F15" s="379" t="n">
        <v>53.6</v>
      </c>
      <c r="G15" s="207" t="n"/>
      <c r="H15" s="452" t="n">
        <v>723.6</v>
      </c>
    </row>
    <row r="16" customFormat="1" s="283">
      <c r="A16" s="368" t="inlineStr">
        <is>
          <t>Машины и механизмы</t>
        </is>
      </c>
      <c r="B16" s="443" t="n"/>
      <c r="C16" s="443" t="n"/>
      <c r="D16" s="443" t="n"/>
      <c r="E16" s="444" t="n"/>
      <c r="F16" s="368" t="n"/>
      <c r="G16" s="313" t="n"/>
      <c r="H16" s="451">
        <f>SUM(H17:H20)</f>
        <v/>
      </c>
    </row>
    <row r="17" ht="25.5" customHeight="1" s="316">
      <c r="A17" s="379" t="n">
        <v>3</v>
      </c>
      <c r="B17" s="369" t="n"/>
      <c r="C17" s="265" t="inlineStr">
        <is>
          <t>91.05.05-015</t>
        </is>
      </c>
      <c r="D17" s="378" t="inlineStr">
        <is>
          <t>Краны на автомобильном ходу, грузоподъемность 16 т</t>
        </is>
      </c>
      <c r="E17" s="379" t="inlineStr">
        <is>
          <t>маш.час</t>
        </is>
      </c>
      <c r="F17" s="379" t="n">
        <v>26.8</v>
      </c>
      <c r="G17" s="396" t="n">
        <v>115.4</v>
      </c>
      <c r="H17" s="207">
        <f>ROUND(F17*G17,2)</f>
        <v/>
      </c>
      <c r="I17" s="276" t="n"/>
      <c r="J17" s="276" t="n"/>
      <c r="L17" s="276" t="n"/>
    </row>
    <row r="18" customFormat="1" s="283">
      <c r="A18" s="379" t="n">
        <v>4</v>
      </c>
      <c r="B18" s="369" t="n"/>
      <c r="C18" s="265" t="inlineStr">
        <is>
          <t>91.14.02-003</t>
        </is>
      </c>
      <c r="D18" s="378" t="inlineStr">
        <is>
          <t>Автомобили бортовые, грузоподъемность до 10 т</t>
        </is>
      </c>
      <c r="E18" s="379" t="inlineStr">
        <is>
          <t>маш.час</t>
        </is>
      </c>
      <c r="F18" s="379" t="n">
        <v>26.8</v>
      </c>
      <c r="G18" s="396" t="n">
        <v>80.44</v>
      </c>
      <c r="H18" s="207">
        <f>ROUND(F18*G18,2)</f>
        <v/>
      </c>
      <c r="I18" s="276" t="n"/>
      <c r="J18" s="276" t="n"/>
      <c r="K18" s="277" t="n"/>
      <c r="L18" s="276" t="n"/>
    </row>
    <row r="19" ht="25.5" customHeight="1" s="316">
      <c r="A19" s="379" t="n">
        <v>5</v>
      </c>
      <c r="B19" s="369" t="n"/>
      <c r="C19" s="265" t="inlineStr">
        <is>
          <t>91.06.03-062</t>
        </is>
      </c>
      <c r="D19" s="378" t="inlineStr">
        <is>
          <t>Лебедки электрические тяговым усилием до 31,39 кН (3,2 т)</t>
        </is>
      </c>
      <c r="E19" s="379" t="inlineStr">
        <is>
          <t>маш.час</t>
        </is>
      </c>
      <c r="F19" s="379" t="n">
        <v>39.7</v>
      </c>
      <c r="G19" s="396" t="n">
        <v>6.9</v>
      </c>
      <c r="H19" s="207">
        <f>ROUND(F19*G19,2)</f>
        <v/>
      </c>
      <c r="I19" s="276" t="n"/>
      <c r="J19" s="276" t="n"/>
      <c r="L19" s="276" t="n"/>
    </row>
    <row r="20">
      <c r="A20" s="379" t="n">
        <v>6</v>
      </c>
      <c r="B20" s="369" t="n"/>
      <c r="C20" s="265" t="inlineStr">
        <is>
          <t>91.06.01-003</t>
        </is>
      </c>
      <c r="D20" s="378" t="inlineStr">
        <is>
          <t>Домкраты гидравлические, грузоподъемность 63-100 т</t>
        </is>
      </c>
      <c r="E20" s="379" t="inlineStr">
        <is>
          <t>маш.час</t>
        </is>
      </c>
      <c r="F20" s="379" t="n">
        <v>39.7</v>
      </c>
      <c r="G20" s="396" t="n">
        <v>0.9</v>
      </c>
      <c r="H20" s="207">
        <f>ROUND(F20*G20,2)</f>
        <v/>
      </c>
      <c r="I20" s="276" t="n"/>
      <c r="J20" s="276" t="n"/>
      <c r="L20" s="276" t="n"/>
    </row>
    <row r="21">
      <c r="A21" s="368" t="inlineStr">
        <is>
          <t>Материалы</t>
        </is>
      </c>
      <c r="B21" s="443" t="n"/>
      <c r="C21" s="443" t="n"/>
      <c r="D21" s="443" t="n"/>
      <c r="E21" s="444" t="n"/>
      <c r="F21" s="368" t="n"/>
      <c r="G21" s="313" t="n"/>
      <c r="H21" s="451">
        <f>SUM(H22:H28)</f>
        <v/>
      </c>
    </row>
    <row r="22">
      <c r="A22" s="156" t="n">
        <v>7</v>
      </c>
      <c r="B22" s="156" t="n"/>
      <c r="C22" s="379" t="inlineStr">
        <is>
          <t>Прайс из СД ОП</t>
        </is>
      </c>
      <c r="D22" s="240" t="inlineStr">
        <is>
          <t>Кабель медный 6кВ 3х240 мм2</t>
        </is>
      </c>
      <c r="E22" s="379" t="inlineStr">
        <is>
          <t>км</t>
        </is>
      </c>
      <c r="F22" s="379" t="n">
        <v>3.3</v>
      </c>
      <c r="G22" s="241" t="n">
        <v>502091.43</v>
      </c>
      <c r="H22" s="207">
        <f>ROUND(F22*G22,2)</f>
        <v/>
      </c>
    </row>
    <row r="23" ht="25.5" customHeight="1" s="316">
      <c r="A23" s="315" t="n">
        <v>8</v>
      </c>
      <c r="B23" s="369" t="n"/>
      <c r="C23" s="265" t="inlineStr">
        <is>
          <t>08.3.08.02-0052</t>
        </is>
      </c>
      <c r="D23" s="378" t="inlineStr">
        <is>
          <t>Уголок горячекатаный, марка стали ВСт3кп2, размер 50х50х5 мм</t>
        </is>
      </c>
      <c r="E23" s="379" t="inlineStr">
        <is>
          <t>т</t>
        </is>
      </c>
      <c r="F23" s="379" t="n">
        <v>0.1</v>
      </c>
      <c r="G23" s="207" t="n">
        <v>5763</v>
      </c>
      <c r="H23" s="207">
        <f>ROUND(F23*G23,2)</f>
        <v/>
      </c>
      <c r="I23" s="257" t="n"/>
      <c r="J23" s="276" t="n"/>
      <c r="K23" s="276" t="n"/>
    </row>
    <row r="24">
      <c r="A24" s="156" t="n">
        <v>9</v>
      </c>
      <c r="B24" s="369" t="n"/>
      <c r="C24" s="265" t="inlineStr">
        <is>
          <t>14.4.02.09-0001</t>
        </is>
      </c>
      <c r="D24" s="378" t="inlineStr">
        <is>
          <t>Краска</t>
        </is>
      </c>
      <c r="E24" s="379" t="inlineStr">
        <is>
          <t>кг</t>
        </is>
      </c>
      <c r="F24" s="379" t="n">
        <v>2.5</v>
      </c>
      <c r="G24" s="207" t="n">
        <v>28.6</v>
      </c>
      <c r="H24" s="207">
        <f>ROUND(F24*G24,2)</f>
        <v/>
      </c>
      <c r="I24" s="257" t="n"/>
      <c r="J24" s="276" t="n"/>
      <c r="K24" s="276" t="n"/>
    </row>
    <row r="25" ht="25.5" customHeight="1" s="316">
      <c r="A25" s="315" t="n">
        <v>10</v>
      </c>
      <c r="B25" s="369" t="n"/>
      <c r="C25" s="265" t="inlineStr">
        <is>
          <t>08.3.07.01-0076</t>
        </is>
      </c>
      <c r="D25" s="378" t="inlineStr">
        <is>
          <t>Прокат полосовой, горячекатаный, марка стали Ст3сп, ширина 50-200 мм, толщина 4-5 мм</t>
        </is>
      </c>
      <c r="E25" s="379" t="inlineStr">
        <is>
          <t>т</t>
        </is>
      </c>
      <c r="F25" s="379" t="n">
        <v>0.01</v>
      </c>
      <c r="G25" s="207" t="n">
        <v>5000</v>
      </c>
      <c r="H25" s="207">
        <f>ROUND(F25*G25,2)</f>
        <v/>
      </c>
      <c r="I25" s="257" t="n"/>
      <c r="J25" s="276" t="n"/>
      <c r="K25" s="276" t="n"/>
    </row>
    <row r="26" ht="25.5" customHeight="1" s="316">
      <c r="A26" s="156" t="n">
        <v>11</v>
      </c>
      <c r="B26" s="369" t="n"/>
      <c r="C26" s="265" t="inlineStr">
        <is>
          <t>999-9950</t>
        </is>
      </c>
      <c r="D26" s="378" t="inlineStr">
        <is>
          <t>Вспомогательные ненормируемые ресурсы (2% от Оплаты труда рабочих)</t>
        </is>
      </c>
      <c r="E26" s="379" t="inlineStr">
        <is>
          <t>руб</t>
        </is>
      </c>
      <c r="F26" s="379" t="n">
        <v>34.6</v>
      </c>
      <c r="G26" s="207" t="n">
        <v>1</v>
      </c>
      <c r="H26" s="207">
        <f>ROUND(F26*G26,2)</f>
        <v/>
      </c>
      <c r="I26" s="257" t="n"/>
      <c r="J26" s="276" t="n"/>
      <c r="K26" s="276" t="n"/>
    </row>
    <row r="27">
      <c r="A27" s="315" t="n">
        <v>12</v>
      </c>
      <c r="B27" s="369" t="n"/>
      <c r="C27" s="265" t="inlineStr">
        <is>
          <t>01.7.06.07-0002</t>
        </is>
      </c>
      <c r="D27" s="378" t="inlineStr">
        <is>
          <t>Лента монтажная, тип ЛМ-5</t>
        </is>
      </c>
      <c r="E27" s="379" t="inlineStr">
        <is>
          <t>10 м</t>
        </is>
      </c>
      <c r="F27" s="379" t="n">
        <v>0.96</v>
      </c>
      <c r="G27" s="207" t="n">
        <v>6.9</v>
      </c>
      <c r="H27" s="207">
        <f>ROUND(F27*G27,2)</f>
        <v/>
      </c>
      <c r="I27" s="257" t="n"/>
      <c r="J27" s="276" t="n"/>
      <c r="K27" s="276" t="n"/>
    </row>
    <row r="28">
      <c r="A28" s="156" t="n">
        <v>13</v>
      </c>
      <c r="B28" s="369" t="n"/>
      <c r="C28" s="265" t="inlineStr">
        <is>
          <t>14.4.03.03-0002</t>
        </is>
      </c>
      <c r="D28" s="378" t="inlineStr">
        <is>
          <t>Лак битумный БТ-123</t>
        </is>
      </c>
      <c r="E28" s="379" t="inlineStr">
        <is>
          <t>т</t>
        </is>
      </c>
      <c r="F28" s="379" t="n">
        <v>0.0005999999999999999</v>
      </c>
      <c r="G28" s="207" t="n">
        <v>7826.9</v>
      </c>
      <c r="H28" s="207">
        <f>ROUND(F28*G28,2)</f>
        <v/>
      </c>
      <c r="I28" s="257" t="n"/>
      <c r="J28" s="276" t="n"/>
      <c r="K28" s="276" t="n"/>
    </row>
    <row r="30">
      <c r="B30" s="318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18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316" min="1" max="1"/>
    <col width="36.28515625" customWidth="1" style="316" min="2" max="2"/>
    <col width="18.85546875" customWidth="1" style="316" min="3" max="3"/>
    <col width="18.28515625" customWidth="1" style="316" min="4" max="4"/>
    <col width="18.85546875" customWidth="1" style="316" min="5" max="5"/>
    <col width="11.42578125" customWidth="1" style="316" min="6" max="6"/>
    <col width="14.42578125" customWidth="1" style="316" min="7" max="7"/>
    <col width="9.140625" customWidth="1" style="316" min="8" max="11"/>
    <col width="13.5703125" customWidth="1" style="316" min="12" max="12"/>
    <col width="9.140625" customWidth="1" style="316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91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8" t="inlineStr">
        <is>
          <t>Ресурсная модель</t>
        </is>
      </c>
    </row>
    <row r="6">
      <c r="B6" s="248" t="n"/>
      <c r="C6" s="289" t="n"/>
      <c r="D6" s="289" t="n"/>
      <c r="E6" s="289" t="n"/>
    </row>
    <row r="7">
      <c r="B7" s="347" t="inlineStr">
        <is>
          <t>Наименование разрабатываемого показателя УНЦ — КЛ 6 кВ (с медной жилой) сечение жилы 240 мм2</t>
        </is>
      </c>
    </row>
    <row r="8">
      <c r="B8" s="371" t="inlineStr">
        <is>
          <t>Единица измерения  — 1 км</t>
        </is>
      </c>
    </row>
    <row r="9">
      <c r="B9" s="248" t="n"/>
      <c r="C9" s="289" t="n"/>
      <c r="D9" s="289" t="n"/>
      <c r="E9" s="289" t="n"/>
    </row>
    <row r="10" ht="51" customHeight="1" s="316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ОБ'!J42</f>
        <v/>
      </c>
      <c r="D17" s="242">
        <f>C17/$C$24</f>
        <v/>
      </c>
      <c r="E17" s="242">
        <f>C17/$C$40</f>
        <v/>
      </c>
      <c r="G17" s="454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ОБ'!D46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ОБ'!D45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6">
      <c r="B25" s="240" t="inlineStr">
        <is>
          <t>ВСЕГО стоимость оборудования, в том числе</t>
        </is>
      </c>
      <c r="C25" s="241">
        <f>'Прил.5 Расчет СМР и ОБ'!J30</f>
        <v/>
      </c>
      <c r="D25" s="242" t="n"/>
      <c r="E25" s="242">
        <f>C25/$C$40</f>
        <v/>
      </c>
    </row>
    <row r="26" ht="25.5" customHeight="1" s="316">
      <c r="B26" s="240" t="inlineStr">
        <is>
          <t>стоимость оборудования технологического</t>
        </is>
      </c>
      <c r="C26" s="241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6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6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6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1" t="n">
        <v>0</v>
      </c>
      <c r="D31" s="240" t="n"/>
      <c r="E31" s="242">
        <f>C31/$C$40</f>
        <v/>
      </c>
    </row>
    <row r="32" ht="25.5" customHeight="1" s="316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6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6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7" t="n"/>
    </row>
    <row r="35" ht="76.5" customHeight="1" s="316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6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308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309" t="n"/>
      <c r="L37" s="243" t="n"/>
    </row>
    <row r="38" ht="38.25" customHeight="1" s="316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6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ОБ'!E49</f>
        <v/>
      </c>
      <c r="D41" s="240" t="n"/>
      <c r="E41" s="240" t="n"/>
    </row>
    <row r="42">
      <c r="B42" s="239" t="n"/>
      <c r="C42" s="289" t="n"/>
      <c r="D42" s="289" t="n"/>
      <c r="E42" s="289" t="n"/>
    </row>
    <row r="43">
      <c r="B43" s="239" t="inlineStr">
        <is>
          <t>Составил ____________________________ А.Р. Маркова</t>
        </is>
      </c>
      <c r="C43" s="289" t="n"/>
      <c r="D43" s="289" t="n"/>
      <c r="E43" s="289" t="n"/>
    </row>
    <row r="44">
      <c r="B44" s="239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39" t="n"/>
      <c r="C45" s="289" t="n"/>
      <c r="D45" s="289" t="n"/>
      <c r="E45" s="289" t="n"/>
    </row>
    <row r="46">
      <c r="B46" s="239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71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topLeftCell="A11" zoomScale="70" zoomScaleSheetLayoutView="70" workbookViewId="0">
      <selection activeCell="V39" sqref="V39"/>
    </sheetView>
  </sheetViews>
  <sheetFormatPr baseColWidth="8" defaultColWidth="9.140625" defaultRowHeight="15" outlineLevelRow="1"/>
  <cols>
    <col width="5.7109375" customWidth="1" style="290" min="1" max="1"/>
    <col width="22.5703125" customWidth="1" style="290" min="2" max="2"/>
    <col width="39.140625" customWidth="1" style="290" min="3" max="3"/>
    <col width="10.7109375" customWidth="1" style="290" min="4" max="4"/>
    <col width="12.7109375" customWidth="1" style="290" min="5" max="5"/>
    <col width="15" customWidth="1" style="290" min="6" max="6"/>
    <col width="13.42578125" customWidth="1" style="290" min="7" max="7"/>
    <col width="12.7109375" customWidth="1" style="290" min="8" max="8"/>
    <col width="13.85546875" customWidth="1" style="290" min="9" max="9"/>
    <col width="17.5703125" customWidth="1" style="290" min="10" max="10"/>
    <col width="10.85546875" customWidth="1" style="290" min="11" max="11"/>
    <col width="9.140625" customWidth="1" style="290" min="12" max="12"/>
    <col width="9.140625" customWidth="1" style="316" min="13" max="13"/>
  </cols>
  <sheetData>
    <row r="1" s="316">
      <c r="A1" s="290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</row>
    <row r="2" ht="15.75" customHeight="1" s="316">
      <c r="A2" s="290" t="n"/>
      <c r="B2" s="290" t="n"/>
      <c r="C2" s="290" t="n"/>
      <c r="D2" s="290" t="n"/>
      <c r="E2" s="290" t="n"/>
      <c r="F2" s="290" t="n"/>
      <c r="G2" s="290" t="n"/>
      <c r="H2" s="387" t="inlineStr">
        <is>
          <t>Приложение №5</t>
        </is>
      </c>
      <c r="K2" s="290" t="n"/>
      <c r="L2" s="290" t="n"/>
      <c r="M2" s="290" t="n"/>
      <c r="N2" s="290" t="n"/>
    </row>
    <row r="3" s="316">
      <c r="A3" s="290" t="n"/>
      <c r="B3" s="290" t="n"/>
      <c r="C3" s="290" t="n"/>
      <c r="D3" s="290" t="n"/>
      <c r="E3" s="290" t="n"/>
      <c r="F3" s="290" t="n"/>
      <c r="G3" s="290" t="n"/>
      <c r="H3" s="290" t="n"/>
      <c r="I3" s="290" t="n"/>
      <c r="J3" s="290" t="n"/>
      <c r="K3" s="290" t="n"/>
      <c r="L3" s="290" t="n"/>
      <c r="M3" s="290" t="n"/>
      <c r="N3" s="290" t="n"/>
    </row>
    <row r="4" ht="12.75" customFormat="1" customHeight="1" s="289">
      <c r="A4" s="338" t="inlineStr">
        <is>
          <t>Расчет стоимости СМР и оборудования</t>
        </is>
      </c>
    </row>
    <row r="5" ht="12.75" customFormat="1" customHeight="1" s="289">
      <c r="A5" s="338" t="n"/>
      <c r="B5" s="338" t="n"/>
      <c r="C5" s="400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289">
      <c r="A6" s="213" t="inlineStr">
        <is>
          <t>Наименование разрабатываемого показателя УНЦ</t>
        </is>
      </c>
      <c r="B6" s="212" t="n"/>
      <c r="C6" s="212" t="n"/>
      <c r="D6" s="341" t="inlineStr">
        <is>
          <t>КЛ 6 кВ (с медной жилой) сечение жилы 240 мм2</t>
        </is>
      </c>
    </row>
    <row r="7" ht="12.75" customFormat="1" customHeight="1" s="289">
      <c r="A7" s="341" t="inlineStr">
        <is>
          <t>Единица измерения  — 1 км</t>
        </is>
      </c>
      <c r="I7" s="347" t="n"/>
      <c r="J7" s="347" t="n"/>
    </row>
    <row r="8" ht="13.5" customFormat="1" customHeight="1" s="289">
      <c r="A8" s="341" t="n"/>
    </row>
    <row r="9" ht="27" customHeight="1" s="316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4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4" t="n"/>
      <c r="K9" s="290" t="n"/>
      <c r="L9" s="290" t="n"/>
      <c r="M9" s="290" t="n"/>
      <c r="N9" s="290" t="n"/>
    </row>
    <row r="10" ht="28.5" customHeight="1" s="316">
      <c r="A10" s="446" t="n"/>
      <c r="B10" s="446" t="n"/>
      <c r="C10" s="446" t="n"/>
      <c r="D10" s="446" t="n"/>
      <c r="E10" s="446" t="n"/>
      <c r="F10" s="379" t="inlineStr">
        <is>
          <t>на ед. изм.</t>
        </is>
      </c>
      <c r="G10" s="379" t="inlineStr">
        <is>
          <t>общая</t>
        </is>
      </c>
      <c r="H10" s="446" t="n"/>
      <c r="I10" s="379" t="inlineStr">
        <is>
          <t>на ед. изм.</t>
        </is>
      </c>
      <c r="J10" s="379" t="inlineStr">
        <is>
          <t>общая</t>
        </is>
      </c>
      <c r="K10" s="290" t="n"/>
      <c r="L10" s="290" t="n"/>
      <c r="M10" s="290" t="n"/>
      <c r="N10" s="290" t="n"/>
    </row>
    <row r="11" s="316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3" t="n">
        <v>9</v>
      </c>
      <c r="J11" s="373" t="n">
        <v>10</v>
      </c>
      <c r="K11" s="290" t="n"/>
      <c r="L11" s="290" t="n"/>
      <c r="M11" s="290" t="n"/>
      <c r="N11" s="290" t="n"/>
    </row>
    <row r="12">
      <c r="A12" s="379" t="n"/>
      <c r="B12" s="377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200" t="n"/>
      <c r="J12" s="200" t="n"/>
    </row>
    <row r="13" ht="25.5" customHeight="1" s="316">
      <c r="A13" s="379" t="n">
        <v>1</v>
      </c>
      <c r="B13" s="265" t="inlineStr">
        <is>
          <t>1-3-8</t>
        </is>
      </c>
      <c r="C13" s="378" t="inlineStr">
        <is>
          <t>Затраты труда рабочих-строителей среднего разряда (3,8)</t>
        </is>
      </c>
      <c r="D13" s="379" t="inlineStr">
        <is>
          <t>чел.-ч.</t>
        </is>
      </c>
      <c r="E13" s="455">
        <f>G13/F13</f>
        <v/>
      </c>
      <c r="F13" s="207" t="n">
        <v>9.4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0">
      <c r="A14" s="379" t="n"/>
      <c r="B14" s="379" t="n"/>
      <c r="C14" s="377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455">
        <f>SUM(E13:E13)</f>
        <v/>
      </c>
      <c r="F14" s="207" t="n"/>
      <c r="G14" s="207">
        <f>SUM(G13:G13)</f>
        <v/>
      </c>
      <c r="H14" s="382" t="n">
        <v>1</v>
      </c>
      <c r="I14" s="200" t="n"/>
      <c r="J14" s="207">
        <f>SUM(J13:J13)</f>
        <v/>
      </c>
    </row>
    <row r="15" ht="14.25" customFormat="1" customHeight="1" s="290">
      <c r="A15" s="379" t="n"/>
      <c r="B15" s="378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200" t="n"/>
      <c r="J15" s="200" t="n"/>
    </row>
    <row r="16" ht="14.25" customFormat="1" customHeight="1" s="290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455" t="n">
        <v>53.6</v>
      </c>
      <c r="F16" s="207">
        <f>G16/E16</f>
        <v/>
      </c>
      <c r="G16" s="207">
        <f>Прил.3!H14</f>
        <v/>
      </c>
      <c r="H16" s="382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0">
      <c r="A17" s="379" t="n"/>
      <c r="B17" s="377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200" t="n"/>
      <c r="J17" s="200" t="n"/>
    </row>
    <row r="18" ht="14.25" customFormat="1" customHeight="1" s="290">
      <c r="A18" s="379" t="n"/>
      <c r="B18" s="378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25.5" customFormat="1" customHeight="1" s="290">
      <c r="A19" s="379" t="n">
        <v>3</v>
      </c>
      <c r="B19" s="267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397" t="inlineStr">
        <is>
          <t>маш.час</t>
        </is>
      </c>
      <c r="E19" s="456" t="n">
        <v>26.8</v>
      </c>
      <c r="F19" s="270" t="n">
        <v>115.4</v>
      </c>
      <c r="G19" s="207">
        <f>ROUND(E19*F19,2)</f>
        <v/>
      </c>
      <c r="H19" s="209">
        <f>G19/$G$25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0">
      <c r="A20" s="379" t="n">
        <v>4</v>
      </c>
      <c r="B20" s="267" t="inlineStr">
        <is>
          <t>91.14.02-003</t>
        </is>
      </c>
      <c r="C20" s="268" t="inlineStr">
        <is>
          <t>Автомобили бортовые, грузоподъемность до 10 т</t>
        </is>
      </c>
      <c r="D20" s="397" t="inlineStr">
        <is>
          <t>маш.час</t>
        </is>
      </c>
      <c r="E20" s="456" t="n">
        <v>26.8</v>
      </c>
      <c r="F20" s="270" t="n">
        <v>80.44</v>
      </c>
      <c r="G20" s="207">
        <f>ROUND(E20*F20,2)</f>
        <v/>
      </c>
      <c r="H20" s="209">
        <f>G20/$G$25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290">
      <c r="A21" s="379" t="n"/>
      <c r="B21" s="379" t="n"/>
      <c r="C21" s="378" t="inlineStr">
        <is>
          <t>Итого основные машины и механизмы</t>
        </is>
      </c>
      <c r="D21" s="379" t="n"/>
      <c r="E21" s="455" t="n"/>
      <c r="F21" s="207" t="n"/>
      <c r="G21" s="207">
        <f>SUM(G19:G20)</f>
        <v/>
      </c>
      <c r="H21" s="382">
        <f>G21/G25</f>
        <v/>
      </c>
      <c r="I21" s="201" t="n"/>
      <c r="J21" s="207">
        <f>SUM(J19:J20)</f>
        <v/>
      </c>
    </row>
    <row r="22" outlineLevel="1" ht="25.5" customFormat="1" customHeight="1" s="290">
      <c r="A22" s="379" t="n">
        <v>5</v>
      </c>
      <c r="B22" s="267" t="inlineStr">
        <is>
          <t>91.06.03-062</t>
        </is>
      </c>
      <c r="C22" s="268" t="inlineStr">
        <is>
          <t>Лебедки электрические тяговым усилием до 31,39 кН (3,2 т)</t>
        </is>
      </c>
      <c r="D22" s="397" t="inlineStr">
        <is>
          <t>маш.час</t>
        </is>
      </c>
      <c r="E22" s="456" t="n">
        <v>39.7</v>
      </c>
      <c r="F22" s="270" t="n">
        <v>6.9</v>
      </c>
      <c r="G22" s="207">
        <f>ROUND(E22*F22,2)</f>
        <v/>
      </c>
      <c r="H22" s="209">
        <f>G22/$G$25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290">
      <c r="A23" s="379" t="n">
        <v>6</v>
      </c>
      <c r="B23" s="267" t="inlineStr">
        <is>
          <t>91.06.01-003</t>
        </is>
      </c>
      <c r="C23" s="268" t="inlineStr">
        <is>
          <t>Домкраты гидравлические, грузоподъемность 63-100 т</t>
        </is>
      </c>
      <c r="D23" s="397" t="inlineStr">
        <is>
          <t>маш.час</t>
        </is>
      </c>
      <c r="E23" s="456" t="n">
        <v>39.7</v>
      </c>
      <c r="F23" s="270" t="n">
        <v>0.9</v>
      </c>
      <c r="G23" s="207">
        <f>ROUND(E23*F23,2)</f>
        <v/>
      </c>
      <c r="H23" s="209">
        <f>G23/$G$25</f>
        <v/>
      </c>
      <c r="I23" s="207">
        <f>ROUND(F23*Прил.10!$D$12,2)</f>
        <v/>
      </c>
      <c r="J23" s="207">
        <f>ROUND(I23*E23,2)</f>
        <v/>
      </c>
    </row>
    <row r="24" ht="14.25" customFormat="1" customHeight="1" s="290">
      <c r="A24" s="379" t="n"/>
      <c r="B24" s="379" t="n"/>
      <c r="C24" s="378" t="inlineStr">
        <is>
          <t>Итого прочие машины и механизмы</t>
        </is>
      </c>
      <c r="D24" s="379" t="n"/>
      <c r="E24" s="380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290">
      <c r="A25" s="379" t="n"/>
      <c r="B25" s="379" t="n"/>
      <c r="C25" s="377" t="inlineStr">
        <is>
          <t>Итого по разделу «Машины и механизмы»</t>
        </is>
      </c>
      <c r="D25" s="379" t="n"/>
      <c r="E25" s="380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290">
      <c r="A26" s="379" t="n"/>
      <c r="B26" s="377" t="inlineStr">
        <is>
          <t>Оборудование</t>
        </is>
      </c>
      <c r="C26" s="443" t="n"/>
      <c r="D26" s="443" t="n"/>
      <c r="E26" s="443" t="n"/>
      <c r="F26" s="443" t="n"/>
      <c r="G26" s="443" t="n"/>
      <c r="H26" s="444" t="n"/>
      <c r="I26" s="200" t="n"/>
      <c r="J26" s="200" t="n"/>
    </row>
    <row r="27">
      <c r="A27" s="379" t="n"/>
      <c r="B27" s="378" t="inlineStr">
        <is>
          <t>Основное оборудование</t>
        </is>
      </c>
      <c r="C27" s="443" t="n"/>
      <c r="D27" s="443" t="n"/>
      <c r="E27" s="443" t="n"/>
      <c r="F27" s="443" t="n"/>
      <c r="G27" s="443" t="n"/>
      <c r="H27" s="444" t="n"/>
      <c r="I27" s="200" t="n"/>
      <c r="J27" s="200" t="n"/>
      <c r="K27" s="290" t="n"/>
      <c r="L27" s="290" t="n"/>
    </row>
    <row r="28">
      <c r="A28" s="379" t="n"/>
      <c r="B28" s="379" t="n"/>
      <c r="C28" s="378" t="inlineStr">
        <is>
          <t>Итого основное оборудование</t>
        </is>
      </c>
      <c r="D28" s="379" t="n"/>
      <c r="E28" s="457" t="n"/>
      <c r="F28" s="381" t="n"/>
      <c r="G28" s="207" t="n">
        <v>0</v>
      </c>
      <c r="H28" s="209" t="n">
        <v>0</v>
      </c>
      <c r="I28" s="201" t="n"/>
      <c r="J28" s="207" t="n">
        <v>0</v>
      </c>
      <c r="K28" s="290" t="n"/>
      <c r="L28" s="290" t="n"/>
    </row>
    <row r="29">
      <c r="A29" s="379" t="n"/>
      <c r="B29" s="379" t="n"/>
      <c r="C29" s="378" t="inlineStr">
        <is>
          <t>Итого прочее оборудование</t>
        </is>
      </c>
      <c r="D29" s="379" t="n"/>
      <c r="E29" s="455" t="n"/>
      <c r="F29" s="381" t="n"/>
      <c r="G29" s="207" t="n">
        <v>0</v>
      </c>
      <c r="H29" s="209" t="n">
        <v>0</v>
      </c>
      <c r="I29" s="201" t="n"/>
      <c r="J29" s="207" t="n">
        <v>0</v>
      </c>
      <c r="K29" s="290" t="n"/>
      <c r="L29" s="290" t="n"/>
    </row>
    <row r="30">
      <c r="A30" s="379" t="n"/>
      <c r="B30" s="379" t="n"/>
      <c r="C30" s="377" t="inlineStr">
        <is>
          <t>Итого по разделу «Оборудование»</t>
        </is>
      </c>
      <c r="D30" s="379" t="n"/>
      <c r="E30" s="380" t="n"/>
      <c r="F30" s="381" t="n"/>
      <c r="G30" s="207">
        <f>G28+G29</f>
        <v/>
      </c>
      <c r="H30" s="209" t="n">
        <v>0</v>
      </c>
      <c r="I30" s="201" t="n"/>
      <c r="J30" s="207">
        <f>J29+J28</f>
        <v/>
      </c>
      <c r="K30" s="290" t="n"/>
      <c r="L30" s="290" t="n"/>
    </row>
    <row r="31" ht="25.5" customHeight="1" s="316">
      <c r="A31" s="379" t="n"/>
      <c r="B31" s="379" t="n"/>
      <c r="C31" s="378" t="inlineStr">
        <is>
          <t>в том числе технологическое оборудование</t>
        </is>
      </c>
      <c r="D31" s="379" t="n"/>
      <c r="E31" s="457" t="n"/>
      <c r="F31" s="381" t="n"/>
      <c r="G31" s="207">
        <f>'Прил.6 Расчет ОБ'!G12</f>
        <v/>
      </c>
      <c r="H31" s="382" t="n"/>
      <c r="I31" s="201" t="n"/>
      <c r="J31" s="207">
        <f>J30</f>
        <v/>
      </c>
      <c r="K31" s="290" t="n"/>
      <c r="L31" s="290" t="n"/>
    </row>
    <row r="32" ht="14.25" customFormat="1" customHeight="1" s="290">
      <c r="A32" s="379" t="n"/>
      <c r="B32" s="377" t="inlineStr">
        <is>
          <t>Материалы</t>
        </is>
      </c>
      <c r="C32" s="443" t="n"/>
      <c r="D32" s="443" t="n"/>
      <c r="E32" s="443" t="n"/>
      <c r="F32" s="443" t="n"/>
      <c r="G32" s="443" t="n"/>
      <c r="H32" s="444" t="n"/>
      <c r="I32" s="200" t="n"/>
      <c r="J32" s="200" t="n"/>
    </row>
    <row r="33" ht="14.25" customFormat="1" customHeight="1" s="290">
      <c r="A33" s="373" t="n"/>
      <c r="B33" s="372" t="inlineStr">
        <is>
          <t>Основные материалы</t>
        </is>
      </c>
      <c r="C33" s="458" t="n"/>
      <c r="D33" s="458" t="n"/>
      <c r="E33" s="458" t="n"/>
      <c r="F33" s="458" t="n"/>
      <c r="G33" s="458" t="n"/>
      <c r="H33" s="459" t="n"/>
      <c r="I33" s="215" t="n"/>
      <c r="J33" s="215" t="n"/>
    </row>
    <row r="34" ht="14.25" customFormat="1" customHeight="1" s="290">
      <c r="A34" s="379" t="n">
        <v>7</v>
      </c>
      <c r="B34" s="379" t="inlineStr">
        <is>
          <t>БЦ.83.42</t>
        </is>
      </c>
      <c r="C34" s="268" t="inlineStr">
        <is>
          <t>Кабель медный 6кВ 3х240 мм2</t>
        </is>
      </c>
      <c r="D34" s="379" t="inlineStr">
        <is>
          <t>км</t>
        </is>
      </c>
      <c r="E34" s="457">
        <f>1*3.3</f>
        <v/>
      </c>
      <c r="F34" s="207">
        <f>ROUND(I34/Прил.10!$D$13,2)</f>
        <v/>
      </c>
      <c r="G34" s="207">
        <f>ROUND(E34*F34,2)</f>
        <v/>
      </c>
      <c r="H34" s="209">
        <f>G34/$G$43</f>
        <v/>
      </c>
      <c r="I34" s="207" t="n">
        <v>2810448.89</v>
      </c>
      <c r="J34" s="207">
        <f>ROUND(I34*E34,2)</f>
        <v/>
      </c>
    </row>
    <row r="35" ht="14.25" customFormat="1" customHeight="1" s="290">
      <c r="A35" s="390" t="n"/>
      <c r="B35" s="217" t="n"/>
      <c r="C35" s="218" t="inlineStr">
        <is>
          <t>Итого основные материалы</t>
        </is>
      </c>
      <c r="D35" s="390" t="n"/>
      <c r="E35" s="460" t="n"/>
      <c r="F35" s="221" t="n"/>
      <c r="G35" s="221">
        <f>SUM(G34:G34)</f>
        <v/>
      </c>
      <c r="H35" s="209">
        <f>G35/$G$43</f>
        <v/>
      </c>
      <c r="I35" s="207" t="n"/>
      <c r="J35" s="221">
        <f>SUM(J34:J34)</f>
        <v/>
      </c>
    </row>
    <row r="36" outlineLevel="1" ht="25.5" customFormat="1" customHeight="1" s="290">
      <c r="A36" s="379" t="n">
        <v>8</v>
      </c>
      <c r="B36" s="267" t="inlineStr">
        <is>
          <t>08.3.08.02-0052</t>
        </is>
      </c>
      <c r="C36" s="268" t="inlineStr">
        <is>
          <t>Уголок горячекатаный, марка стали ВСт3кп2, размер 50х50х5 мм</t>
        </is>
      </c>
      <c r="D36" s="397" t="inlineStr">
        <is>
          <t>т</t>
        </is>
      </c>
      <c r="E36" s="456" t="n">
        <v>0.1</v>
      </c>
      <c r="F36" s="254" t="n">
        <v>5763</v>
      </c>
      <c r="G36" s="207">
        <f>ROUND(E36*F36,2)</f>
        <v/>
      </c>
      <c r="H36" s="209">
        <f>G36/$G$43</f>
        <v/>
      </c>
      <c r="I36" s="207">
        <f>ROUND(F36*Прил.10!$D$13,2)</f>
        <v/>
      </c>
      <c r="J36" s="207">
        <f>ROUND(I36*E36,2)</f>
        <v/>
      </c>
    </row>
    <row r="37" outlineLevel="1" ht="14.25" customFormat="1" customHeight="1" s="290">
      <c r="A37" s="379" t="n">
        <v>9</v>
      </c>
      <c r="B37" s="267" t="inlineStr">
        <is>
          <t>14.4.02.09-0001</t>
        </is>
      </c>
      <c r="C37" s="268" t="inlineStr">
        <is>
          <t>Краска</t>
        </is>
      </c>
      <c r="D37" s="397" t="inlineStr">
        <is>
          <t>кг</t>
        </is>
      </c>
      <c r="E37" s="456" t="n">
        <v>2.5</v>
      </c>
      <c r="F37" s="254" t="n">
        <v>28.6</v>
      </c>
      <c r="G37" s="207">
        <f>ROUND(E37*F37,2)</f>
        <v/>
      </c>
      <c r="H37" s="209">
        <f>G37/$G$43</f>
        <v/>
      </c>
      <c r="I37" s="207">
        <f>ROUND(F37*Прил.10!$D$13,2)</f>
        <v/>
      </c>
      <c r="J37" s="207">
        <f>ROUND(I37*E37,2)</f>
        <v/>
      </c>
    </row>
    <row r="38" outlineLevel="1" ht="38.25" customFormat="1" customHeight="1" s="290">
      <c r="A38" s="379" t="n">
        <v>10</v>
      </c>
      <c r="B38" s="267" t="inlineStr">
        <is>
          <t>08.3.07.01-0076</t>
        </is>
      </c>
      <c r="C38" s="268" t="inlineStr">
        <is>
          <t>Прокат полосовой, горячекатаный, марка стали Ст3сп, ширина 50-200 мм, толщина 4-5 мм</t>
        </is>
      </c>
      <c r="D38" s="397" t="inlineStr">
        <is>
          <t>т</t>
        </is>
      </c>
      <c r="E38" s="456" t="n">
        <v>0.01</v>
      </c>
      <c r="F38" s="254" t="n">
        <v>5000</v>
      </c>
      <c r="G38" s="207">
        <f>ROUND(E38*F38,2)</f>
        <v/>
      </c>
      <c r="H38" s="209">
        <f>G38/$G$43</f>
        <v/>
      </c>
      <c r="I38" s="207">
        <f>ROUND(F38*Прил.10!$D$13,2)</f>
        <v/>
      </c>
      <c r="J38" s="207">
        <f>ROUND(I38*E38,2)</f>
        <v/>
      </c>
    </row>
    <row r="39" outlineLevel="1" ht="25.5" customFormat="1" customHeight="1" s="290">
      <c r="A39" s="379" t="n">
        <v>11</v>
      </c>
      <c r="B39" s="267" t="inlineStr">
        <is>
          <t>999-9950</t>
        </is>
      </c>
      <c r="C39" s="268" t="inlineStr">
        <is>
          <t>Вспомогательные ненормируемые ресурсы (2% от Оплаты труда рабочих)</t>
        </is>
      </c>
      <c r="D39" s="397" t="inlineStr">
        <is>
          <t>руб</t>
        </is>
      </c>
      <c r="E39" s="456" t="n">
        <v>34.6</v>
      </c>
      <c r="F39" s="254" t="n">
        <v>1</v>
      </c>
      <c r="G39" s="207">
        <f>ROUND(E39*F39,2)</f>
        <v/>
      </c>
      <c r="H39" s="209">
        <f>G39/$G$43</f>
        <v/>
      </c>
      <c r="I39" s="207">
        <f>ROUND(F39*Прил.10!$D$13,2)</f>
        <v/>
      </c>
      <c r="J39" s="207">
        <f>ROUND(I39*E39,2)</f>
        <v/>
      </c>
    </row>
    <row r="40" outlineLevel="1" ht="14.25" customFormat="1" customHeight="1" s="290">
      <c r="A40" s="379" t="n">
        <v>12</v>
      </c>
      <c r="B40" s="267" t="inlineStr">
        <is>
          <t>01.7.06.07-0002</t>
        </is>
      </c>
      <c r="C40" s="268" t="inlineStr">
        <is>
          <t>Лента монтажная, тип ЛМ-5</t>
        </is>
      </c>
      <c r="D40" s="397" t="inlineStr">
        <is>
          <t>10 м</t>
        </is>
      </c>
      <c r="E40" s="456" t="n">
        <v>0.96</v>
      </c>
      <c r="F40" s="254" t="n">
        <v>6.9</v>
      </c>
      <c r="G40" s="207">
        <f>ROUND(E40*F40,2)</f>
        <v/>
      </c>
      <c r="H40" s="209">
        <f>G40/$G$43</f>
        <v/>
      </c>
      <c r="I40" s="207">
        <f>ROUND(F40*Прил.10!$D$13,2)</f>
        <v/>
      </c>
      <c r="J40" s="207">
        <f>ROUND(I40*E40,2)</f>
        <v/>
      </c>
    </row>
    <row r="41" outlineLevel="1" ht="14.25" customFormat="1" customHeight="1" s="290">
      <c r="A41" s="379" t="n">
        <v>13</v>
      </c>
      <c r="B41" s="267" t="inlineStr">
        <is>
          <t>14.4.03.03-0002</t>
        </is>
      </c>
      <c r="C41" s="268" t="inlineStr">
        <is>
          <t>Лак битумный БТ-123</t>
        </is>
      </c>
      <c r="D41" s="397" t="inlineStr">
        <is>
          <t>т</t>
        </is>
      </c>
      <c r="E41" s="456" t="n">
        <v>0.0005999999999999999</v>
      </c>
      <c r="F41" s="254" t="n">
        <v>7826.9</v>
      </c>
      <c r="G41" s="207">
        <f>ROUND(E41*F41,2)</f>
        <v/>
      </c>
      <c r="H41" s="209">
        <f>G41/$G$43</f>
        <v/>
      </c>
      <c r="I41" s="207">
        <f>ROUND(F41*Прил.10!$D$13,2)</f>
        <v/>
      </c>
      <c r="J41" s="207">
        <f>ROUND(I41*E41,2)</f>
        <v/>
      </c>
    </row>
    <row r="42" ht="14.25" customFormat="1" customHeight="1" s="290">
      <c r="A42" s="390" t="n"/>
      <c r="B42" s="379" t="n"/>
      <c r="C42" s="378" t="inlineStr">
        <is>
          <t>Итого прочие материалы</t>
        </is>
      </c>
      <c r="D42" s="379" t="n"/>
      <c r="E42" s="457" t="n"/>
      <c r="F42" s="381" t="n"/>
      <c r="G42" s="207">
        <f>SUM(G36:G41)</f>
        <v/>
      </c>
      <c r="H42" s="209">
        <f>G42/$G$43</f>
        <v/>
      </c>
      <c r="I42" s="207" t="n"/>
      <c r="J42" s="207">
        <f>SUM(J36:J41)</f>
        <v/>
      </c>
    </row>
    <row r="43" ht="14.25" customFormat="1" customHeight="1" s="290">
      <c r="A43" s="379" t="n"/>
      <c r="B43" s="379" t="n"/>
      <c r="C43" s="377" t="inlineStr">
        <is>
          <t>Итого по разделу «Материалы»</t>
        </is>
      </c>
      <c r="D43" s="379" t="n"/>
      <c r="E43" s="380" t="n"/>
      <c r="F43" s="381" t="n"/>
      <c r="G43" s="207">
        <f>G35+G42</f>
        <v/>
      </c>
      <c r="H43" s="382">
        <f>G43/$G$43</f>
        <v/>
      </c>
      <c r="I43" s="207" t="n"/>
      <c r="J43" s="207">
        <f>J35+J42</f>
        <v/>
      </c>
    </row>
    <row r="44" ht="14.25" customFormat="1" customHeight="1" s="290">
      <c r="A44" s="379" t="n"/>
      <c r="B44" s="379" t="n"/>
      <c r="C44" s="378" t="inlineStr">
        <is>
          <t>ИТОГО ПО РМ</t>
        </is>
      </c>
      <c r="D44" s="379" t="n"/>
      <c r="E44" s="380" t="n"/>
      <c r="F44" s="381" t="n"/>
      <c r="G44" s="207">
        <f>G14+G25+G43</f>
        <v/>
      </c>
      <c r="H44" s="382" t="n"/>
      <c r="I44" s="207" t="n"/>
      <c r="J44" s="207">
        <f>J14+J25+J43</f>
        <v/>
      </c>
    </row>
    <row r="45" ht="14.25" customFormat="1" customHeight="1" s="290">
      <c r="A45" s="379" t="n"/>
      <c r="B45" s="379" t="n"/>
      <c r="C45" s="378" t="inlineStr">
        <is>
          <t>Накладные расходы</t>
        </is>
      </c>
      <c r="D45" s="203">
        <f>ROUND(G45/(G$16+$G$14),2)</f>
        <v/>
      </c>
      <c r="E45" s="380" t="n"/>
      <c r="F45" s="381" t="n"/>
      <c r="G45" s="207" t="n">
        <v>2379.6</v>
      </c>
      <c r="H45" s="382" t="n"/>
      <c r="I45" s="207" t="n"/>
      <c r="J45" s="207">
        <f>ROUND(D45*(J14+J16),2)</f>
        <v/>
      </c>
    </row>
    <row r="46" ht="14.25" customFormat="1" customHeight="1" s="290">
      <c r="A46" s="379" t="n"/>
      <c r="B46" s="379" t="n"/>
      <c r="C46" s="378" t="inlineStr">
        <is>
          <t>Сметная прибыль</t>
        </is>
      </c>
      <c r="D46" s="203">
        <f>ROUND(G46/(G$14+G$16),2)</f>
        <v/>
      </c>
      <c r="E46" s="380" t="n"/>
      <c r="F46" s="381" t="n"/>
      <c r="G46" s="207" t="n">
        <v>1251.13</v>
      </c>
      <c r="H46" s="382" t="n"/>
      <c r="I46" s="207" t="n"/>
      <c r="J46" s="207">
        <f>ROUND(D46*(J14+J16),2)</f>
        <v/>
      </c>
    </row>
    <row r="47" ht="14.25" customFormat="1" customHeight="1" s="290">
      <c r="A47" s="379" t="n"/>
      <c r="B47" s="379" t="n"/>
      <c r="C47" s="378" t="inlineStr">
        <is>
          <t>Итого СМР (с НР и СП)</t>
        </is>
      </c>
      <c r="D47" s="379" t="n"/>
      <c r="E47" s="380" t="n"/>
      <c r="F47" s="381" t="n"/>
      <c r="G47" s="207">
        <f>G14+G25+G43+G45+G46</f>
        <v/>
      </c>
      <c r="H47" s="382" t="n"/>
      <c r="I47" s="207" t="n"/>
      <c r="J47" s="207">
        <f>J14+J25+J43+J45+J46</f>
        <v/>
      </c>
    </row>
    <row r="48" ht="14.25" customFormat="1" customHeight="1" s="290">
      <c r="A48" s="379" t="n"/>
      <c r="B48" s="379" t="n"/>
      <c r="C48" s="378" t="inlineStr">
        <is>
          <t>ВСЕГО СМР + ОБОРУДОВАНИЕ</t>
        </is>
      </c>
      <c r="D48" s="379" t="n"/>
      <c r="E48" s="380" t="n"/>
      <c r="F48" s="381" t="n"/>
      <c r="G48" s="207">
        <f>G47+G30</f>
        <v/>
      </c>
      <c r="H48" s="382" t="n"/>
      <c r="I48" s="207" t="n"/>
      <c r="J48" s="207">
        <f>J47+J30</f>
        <v/>
      </c>
    </row>
    <row r="49" ht="34.5" customFormat="1" customHeight="1" s="290">
      <c r="A49" s="379" t="n"/>
      <c r="B49" s="379" t="n"/>
      <c r="C49" s="378" t="inlineStr">
        <is>
          <t>ИТОГО ПОКАЗАТЕЛЬ НА ЕД. ИЗМ.</t>
        </is>
      </c>
      <c r="D49" s="379" t="inlineStr">
        <is>
          <t>1 км</t>
        </is>
      </c>
      <c r="E49" s="457" t="n">
        <v>1</v>
      </c>
      <c r="F49" s="381" t="n"/>
      <c r="G49" s="207">
        <f>G48/E49</f>
        <v/>
      </c>
      <c r="H49" s="382" t="n"/>
      <c r="I49" s="207" t="n"/>
      <c r="J49" s="207">
        <f>J48/E49</f>
        <v/>
      </c>
    </row>
    <row r="51" ht="14.25" customFormat="1" customHeight="1" s="290">
      <c r="A51" s="289" t="inlineStr">
        <is>
          <t>Составил ______________________    А.Р. Маркова</t>
        </is>
      </c>
    </row>
    <row r="52" ht="14.25" customFormat="1" customHeight="1" s="290">
      <c r="A52" s="292" t="inlineStr">
        <is>
          <t xml:space="preserve">                         (подпись, инициалы, фамилия)</t>
        </is>
      </c>
    </row>
    <row r="53" ht="14.25" customFormat="1" customHeight="1" s="290">
      <c r="A53" s="289" t="n"/>
    </row>
    <row r="54" ht="14.25" customFormat="1" customHeight="1" s="290">
      <c r="A54" s="289" t="inlineStr">
        <is>
          <t>Проверил ______________________        А.В. Костянецкая</t>
        </is>
      </c>
    </row>
    <row r="55" ht="14.25" customFormat="1" customHeight="1" s="290">
      <c r="A55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18" sqref="C18"/>
    </sheetView>
  </sheetViews>
  <sheetFormatPr baseColWidth="8" defaultRowHeight="15"/>
  <cols>
    <col width="5.7109375" customWidth="1" style="316" min="1" max="1"/>
    <col width="17.5703125" customWidth="1" style="316" min="2" max="2"/>
    <col width="39.140625" customWidth="1" style="316" min="3" max="3"/>
    <col width="10.7109375" customWidth="1" style="316" min="4" max="4"/>
    <col width="13.85546875" customWidth="1" style="316" min="5" max="5"/>
    <col width="13.28515625" customWidth="1" style="316" min="6" max="6"/>
    <col width="14.140625" customWidth="1" style="316" min="7" max="7"/>
  </cols>
  <sheetData>
    <row r="1">
      <c r="A1" s="391" t="inlineStr">
        <is>
          <t>Приложение №6</t>
        </is>
      </c>
    </row>
    <row r="2" ht="21.75" customHeight="1" s="316">
      <c r="A2" s="391" t="n"/>
      <c r="B2" s="391" t="n"/>
      <c r="C2" s="391" t="n"/>
      <c r="D2" s="391" t="n"/>
      <c r="E2" s="391" t="n"/>
      <c r="F2" s="391" t="n"/>
      <c r="G2" s="391" t="n"/>
    </row>
    <row r="3">
      <c r="A3" s="338" t="inlineStr">
        <is>
          <t>Расчет стоимости оборудования</t>
        </is>
      </c>
    </row>
    <row r="4">
      <c r="A4" s="392" t="inlineStr">
        <is>
          <t>Наименование разрабатываемого показателя УНЦ — КЛ 6 кВ (с медной жилой) сечение жилы 240 мм2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316">
      <c r="A6" s="379" t="inlineStr">
        <is>
          <t>№ пп.</t>
        </is>
      </c>
      <c r="B6" s="379" t="inlineStr">
        <is>
          <t>Код ресурса</t>
        </is>
      </c>
      <c r="C6" s="379" t="inlineStr">
        <is>
          <t>Наименование</t>
        </is>
      </c>
      <c r="D6" s="379" t="inlineStr">
        <is>
          <t>Ед. изм.</t>
        </is>
      </c>
      <c r="E6" s="379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16">
      <c r="A9" s="240" t="n"/>
      <c r="B9" s="378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16">
      <c r="A10" s="379" t="n"/>
      <c r="B10" s="377" t="n"/>
      <c r="C10" s="378" t="inlineStr">
        <is>
          <t>ИТОГО ИНЖЕНЕРНОЕ ОБОРУДОВАНИЕ</t>
        </is>
      </c>
      <c r="D10" s="377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16">
      <c r="A12" s="379" t="n"/>
      <c r="B12" s="378" t="n"/>
      <c r="C12" s="378" t="inlineStr">
        <is>
          <t>ИТОГО ТЕХНОЛОГИЧЕСКОЕ ОБОРУДОВАНИЕ</t>
        </is>
      </c>
      <c r="D12" s="378" t="n"/>
      <c r="E12" s="396" t="n"/>
      <c r="F12" s="381" t="n"/>
      <c r="G12" s="207" t="n">
        <v>0</v>
      </c>
    </row>
    <row r="13" ht="19.5" customHeight="1" s="316">
      <c r="A13" s="379" t="n"/>
      <c r="B13" s="378" t="n"/>
      <c r="C13" s="378" t="inlineStr">
        <is>
          <t>Всего по разделу «Оборудование»</t>
        </is>
      </c>
      <c r="D13" s="378" t="n"/>
      <c r="E13" s="396" t="n"/>
      <c r="F13" s="381" t="n"/>
      <c r="G13" s="207">
        <f>G10+G12</f>
        <v/>
      </c>
    </row>
    <row r="14">
      <c r="A14" s="291" t="n"/>
      <c r="B14" s="151" t="n"/>
      <c r="C14" s="291" t="n"/>
      <c r="D14" s="291" t="n"/>
      <c r="E14" s="291" t="n"/>
      <c r="F14" s="291" t="n"/>
      <c r="G14" s="291" t="n"/>
    </row>
    <row r="15">
      <c r="A15" s="289" t="inlineStr">
        <is>
          <t>Составил ______________________    А.Р. Маркова</t>
        </is>
      </c>
      <c r="B15" s="290" t="n"/>
      <c r="C15" s="290" t="n"/>
      <c r="D15" s="291" t="n"/>
      <c r="E15" s="291" t="n"/>
      <c r="F15" s="291" t="n"/>
      <c r="G15" s="291" t="n"/>
    </row>
    <row r="16">
      <c r="A16" s="292" t="inlineStr">
        <is>
          <t xml:space="preserve">                         (подпись, инициалы, фамилия)</t>
        </is>
      </c>
      <c r="B16" s="290" t="n"/>
      <c r="C16" s="290" t="n"/>
      <c r="D16" s="291" t="n"/>
      <c r="E16" s="291" t="n"/>
      <c r="F16" s="291" t="n"/>
      <c r="G16" s="291" t="n"/>
    </row>
    <row r="17">
      <c r="A17" s="289" t="n"/>
      <c r="B17" s="290" t="n"/>
      <c r="C17" s="290" t="n"/>
      <c r="D17" s="291" t="n"/>
      <c r="E17" s="291" t="n"/>
      <c r="F17" s="291" t="n"/>
      <c r="G17" s="291" t="n"/>
    </row>
    <row r="18">
      <c r="A18" s="289" t="inlineStr">
        <is>
          <t>Проверил ______________________        А.В. Костянецкая</t>
        </is>
      </c>
      <c r="B18" s="290" t="n"/>
      <c r="C18" s="290" t="n"/>
      <c r="D18" s="291" t="n"/>
      <c r="E18" s="291" t="n"/>
      <c r="F18" s="291" t="n"/>
      <c r="G18" s="291" t="n"/>
    </row>
    <row r="19">
      <c r="A19" s="292" t="inlineStr">
        <is>
          <t xml:space="preserve">                        (подпись, инициалы, фамилия)</t>
        </is>
      </c>
      <c r="B19" s="290" t="n"/>
      <c r="C19" s="290" t="n"/>
      <c r="D19" s="291" t="n"/>
      <c r="E19" s="291" t="n"/>
      <c r="F19" s="291" t="n"/>
      <c r="G19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30" sqref="E30"/>
    </sheetView>
  </sheetViews>
  <sheetFormatPr baseColWidth="8" defaultRowHeight="15"/>
  <cols>
    <col width="12.7109375" customWidth="1" style="316" min="1" max="1"/>
    <col width="22.42578125" customWidth="1" style="316" min="2" max="2"/>
    <col width="37.140625" customWidth="1" style="316" min="3" max="3"/>
    <col width="49" customWidth="1" style="316" min="4" max="4"/>
    <col width="9.140625" customWidth="1" style="316" min="5" max="5"/>
  </cols>
  <sheetData>
    <row r="1" ht="15.75" customHeight="1" s="316">
      <c r="A1" s="318" t="n"/>
      <c r="B1" s="318" t="n"/>
      <c r="C1" s="318" t="n"/>
      <c r="D1" s="318" t="inlineStr">
        <is>
          <t>Приложение №7</t>
        </is>
      </c>
    </row>
    <row r="2" ht="15.75" customHeight="1" s="316">
      <c r="A2" s="318" t="n"/>
      <c r="B2" s="318" t="n"/>
      <c r="C2" s="318" t="n"/>
      <c r="D2" s="318" t="n"/>
    </row>
    <row r="3" ht="15.75" customHeight="1" s="316">
      <c r="A3" s="318" t="n"/>
      <c r="B3" s="283" t="inlineStr">
        <is>
          <t>Расчет показателя УНЦ</t>
        </is>
      </c>
      <c r="C3" s="318" t="n"/>
      <c r="D3" s="318" t="n"/>
    </row>
    <row r="4" ht="15.75" customHeight="1" s="316">
      <c r="A4" s="318" t="n"/>
      <c r="B4" s="318" t="n"/>
      <c r="C4" s="318" t="n"/>
      <c r="D4" s="318" t="n"/>
    </row>
    <row r="5" ht="31.5" customHeight="1" s="316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16">
      <c r="A6" s="318" t="inlineStr">
        <is>
          <t>Единица измерения  — 1 км</t>
        </is>
      </c>
      <c r="B6" s="318" t="n"/>
      <c r="C6" s="318" t="n"/>
      <c r="D6" s="318" t="n"/>
    </row>
    <row r="7" ht="15.75" customHeight="1" s="316">
      <c r="A7" s="318" t="n"/>
      <c r="B7" s="318" t="n"/>
      <c r="C7" s="318" t="n"/>
      <c r="D7" s="318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16">
      <c r="A10" s="365" t="n">
        <v>1</v>
      </c>
      <c r="B10" s="365" t="n">
        <v>2</v>
      </c>
      <c r="C10" s="365" t="n">
        <v>3</v>
      </c>
      <c r="D10" s="365" t="n">
        <v>4</v>
      </c>
    </row>
    <row r="11" ht="31.5" customHeight="1" s="316">
      <c r="A11" s="365" t="inlineStr">
        <is>
          <t>К2-08-1</t>
        </is>
      </c>
      <c r="B11" s="365" t="inlineStr">
        <is>
          <t xml:space="preserve">УНЦ КЛ 6 - 500 кВ (с медной жилой) </t>
        </is>
      </c>
      <c r="C11" s="287">
        <f>D5</f>
        <v/>
      </c>
      <c r="D11" s="324">
        <f>'Прил.4 РМ'!C41/1000</f>
        <v/>
      </c>
    </row>
    <row r="13">
      <c r="A13" s="289" t="inlineStr">
        <is>
          <t>Составил ______________________    А.Р. Маркова</t>
        </is>
      </c>
      <c r="B13" s="290" t="n"/>
      <c r="C13" s="290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0" t="n"/>
      <c r="C14" s="290" t="n"/>
      <c r="D14" s="291" t="n"/>
    </row>
    <row r="15">
      <c r="A15" s="289" t="n"/>
      <c r="B15" s="290" t="n"/>
      <c r="C15" s="290" t="n"/>
      <c r="D15" s="291" t="n"/>
    </row>
    <row r="16">
      <c r="A16" s="289" t="inlineStr">
        <is>
          <t>Проверил ______________________        А.В. Костянецкая</t>
        </is>
      </c>
      <c r="B16" s="290" t="n"/>
      <c r="C16" s="290" t="n"/>
      <c r="D16" s="291" t="n"/>
    </row>
    <row r="17" ht="20.25" customHeight="1" s="316">
      <c r="A17" s="292" t="inlineStr">
        <is>
          <t xml:space="preserve">                        (подпись, инициалы, фамилия)</t>
        </is>
      </c>
      <c r="B17" s="290" t="n"/>
      <c r="C17" s="290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16" min="1" max="1"/>
    <col width="40.7109375" customWidth="1" style="316" min="2" max="2"/>
    <col width="37" customWidth="1" style="316" min="3" max="3"/>
    <col width="32" customWidth="1" style="316" min="4" max="4"/>
    <col width="9.140625" customWidth="1" style="316" min="5" max="5"/>
  </cols>
  <sheetData>
    <row r="4" ht="15.75" customHeight="1" s="316">
      <c r="B4" s="348" t="inlineStr">
        <is>
          <t>Приложение № 10</t>
        </is>
      </c>
    </row>
    <row r="5" ht="18.75" customHeight="1" s="316">
      <c r="B5" s="172" t="n"/>
    </row>
    <row r="6" ht="15.75" customHeight="1" s="31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16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16">
      <c r="B10" s="365" t="n">
        <v>1</v>
      </c>
      <c r="C10" s="365" t="n">
        <v>2</v>
      </c>
      <c r="D10" s="365" t="n">
        <v>3</v>
      </c>
    </row>
    <row r="11" ht="45" customHeight="1" s="316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16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10.84</v>
      </c>
    </row>
    <row r="13" ht="29.25" customHeight="1" s="316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5.34</v>
      </c>
    </row>
    <row r="14" ht="30.75" customHeight="1" s="316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16">
      <c r="B15" s="365" t="inlineStr">
        <is>
          <t>Временные здания и сооружения</t>
        </is>
      </c>
      <c r="C15" s="36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7" t="n">
        <v>0.025</v>
      </c>
    </row>
    <row r="16" ht="78.75" customHeight="1" s="316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7" t="n">
        <v>0.021</v>
      </c>
    </row>
    <row r="17" ht="15.75" customHeight="1" s="316">
      <c r="B17" s="365" t="inlineStr">
        <is>
          <t>Пусконаладочные работы*</t>
        </is>
      </c>
      <c r="C17" s="365" t="n"/>
      <c r="D17" s="365" t="inlineStr">
        <is>
          <t>Расчет</t>
        </is>
      </c>
    </row>
    <row r="18" ht="31.5" customHeight="1" s="316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07" t="n">
        <v>0.0214</v>
      </c>
    </row>
    <row r="19" ht="31.5" customHeight="1" s="316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07" t="n">
        <v>0.002</v>
      </c>
    </row>
    <row r="20" ht="24" customHeight="1" s="316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07" t="n">
        <v>0.03</v>
      </c>
    </row>
    <row r="21" ht="18.75" customHeight="1" s="316">
      <c r="B21" s="253" t="n"/>
      <c r="D21" s="306" t="n"/>
    </row>
    <row r="22" ht="18.75" customHeight="1" s="316">
      <c r="B22" s="253" t="n"/>
    </row>
    <row r="23" ht="18.75" customHeight="1" s="316">
      <c r="B23" s="253" t="n"/>
    </row>
    <row r="24" ht="18.75" customHeight="1" s="316">
      <c r="B24" s="253" t="n"/>
    </row>
    <row r="27">
      <c r="B27" s="289" t="inlineStr">
        <is>
          <t>Составил ______________________        Е.А. Князева</t>
        </is>
      </c>
      <c r="C27" s="290" t="n"/>
    </row>
    <row r="28">
      <c r="B28" s="292" t="inlineStr">
        <is>
          <t xml:space="preserve">                         (подпись, инициалы, фамилия)</t>
        </is>
      </c>
      <c r="C28" s="290" t="n"/>
    </row>
    <row r="29">
      <c r="B29" s="289" t="n"/>
      <c r="C29" s="290" t="n"/>
    </row>
    <row r="30">
      <c r="B30" s="289" t="inlineStr">
        <is>
          <t>Проверил ______________________        А.В. Костянецкая</t>
        </is>
      </c>
      <c r="C30" s="290" t="n"/>
    </row>
    <row r="31">
      <c r="B31" s="292" t="inlineStr">
        <is>
          <t xml:space="preserve">                        (подпись, инициалы, фамилия)</t>
        </is>
      </c>
      <c r="C31" s="29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2" sqref="E12"/>
    </sheetView>
  </sheetViews>
  <sheetFormatPr baseColWidth="8" defaultColWidth="9.140625" defaultRowHeight="15"/>
  <cols>
    <col width="44.85546875" customWidth="1" style="316" min="2" max="2"/>
    <col width="13" customWidth="1" style="316" min="3" max="3"/>
    <col width="22.85546875" customWidth="1" style="316" min="4" max="4"/>
    <col width="21.5703125" customWidth="1" style="316" min="5" max="5"/>
    <col width="43.85546875" customWidth="1" style="316" min="6" max="6"/>
  </cols>
  <sheetData>
    <row r="1" s="316"/>
    <row r="2" ht="17.25" customHeight="1" s="31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16"/>
    <row r="4" ht="18" customHeight="1" s="316">
      <c r="A4" s="317" t="inlineStr">
        <is>
          <t>Составлен в уровне цен на 01.01.2023 г.</t>
        </is>
      </c>
      <c r="B4" s="318" t="n"/>
      <c r="C4" s="318" t="n"/>
      <c r="D4" s="318" t="n"/>
      <c r="E4" s="318" t="n"/>
      <c r="F4" s="318" t="n"/>
      <c r="G4" s="318" t="n"/>
    </row>
    <row r="5" ht="15.75" customHeight="1" s="316">
      <c r="A5" s="319" t="inlineStr">
        <is>
          <t>№ пп.</t>
        </is>
      </c>
      <c r="B5" s="319" t="inlineStr">
        <is>
          <t>Наименование элемента</t>
        </is>
      </c>
      <c r="C5" s="319" t="inlineStr">
        <is>
          <t>Обозначение</t>
        </is>
      </c>
      <c r="D5" s="319" t="inlineStr">
        <is>
          <t>Формула</t>
        </is>
      </c>
      <c r="E5" s="319" t="inlineStr">
        <is>
          <t>Величина элемента</t>
        </is>
      </c>
      <c r="F5" s="319" t="inlineStr">
        <is>
          <t>Наименования обосновывающих документов</t>
        </is>
      </c>
      <c r="G5" s="318" t="n"/>
    </row>
    <row r="6" ht="15.75" customHeight="1" s="316">
      <c r="A6" s="319" t="n">
        <v>1</v>
      </c>
      <c r="B6" s="319" t="n">
        <v>2</v>
      </c>
      <c r="C6" s="319" t="n">
        <v>3</v>
      </c>
      <c r="D6" s="319" t="n">
        <v>4</v>
      </c>
      <c r="E6" s="319" t="n">
        <v>5</v>
      </c>
      <c r="F6" s="319" t="n">
        <v>6</v>
      </c>
      <c r="G6" s="318" t="n"/>
    </row>
    <row r="7" ht="110.25" customHeight="1" s="316">
      <c r="A7" s="320" t="inlineStr">
        <is>
          <t>1.1</t>
        </is>
      </c>
      <c r="B7" s="3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23" t="n">
        <v>47872.94</v>
      </c>
      <c r="F7" s="3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8" t="n"/>
    </row>
    <row r="8" ht="31.5" customHeight="1" s="316">
      <c r="A8" s="320" t="inlineStr">
        <is>
          <t>1.2</t>
        </is>
      </c>
      <c r="B8" s="325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24">
        <f>1973/12</f>
        <v/>
      </c>
      <c r="F8" s="325" t="inlineStr">
        <is>
          <t>Производственный календарь 2023 год
(40-часов.неделя)</t>
        </is>
      </c>
      <c r="G8" s="327" t="n"/>
    </row>
    <row r="9" ht="15.75" customHeight="1" s="316">
      <c r="A9" s="320" t="inlineStr">
        <is>
          <t>1.3</t>
        </is>
      </c>
      <c r="B9" s="325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24" t="n">
        <v>1</v>
      </c>
      <c r="F9" s="325" t="n"/>
      <c r="G9" s="327" t="n"/>
    </row>
    <row r="10" ht="15.75" customHeight="1" s="316">
      <c r="A10" s="320" t="inlineStr">
        <is>
          <t>1.4</t>
        </is>
      </c>
      <c r="B10" s="325" t="inlineStr">
        <is>
          <t>Средний разряд работ</t>
        </is>
      </c>
      <c r="C10" s="365" t="n"/>
      <c r="D10" s="365" t="n"/>
      <c r="E10" s="461" t="n">
        <v>3.8</v>
      </c>
      <c r="F10" s="325" t="inlineStr">
        <is>
          <t>РТМ</t>
        </is>
      </c>
      <c r="G10" s="327" t="n"/>
    </row>
    <row r="11" ht="78.75" customHeight="1" s="316">
      <c r="A11" s="320" t="inlineStr">
        <is>
          <t>1.5</t>
        </is>
      </c>
      <c r="B11" s="325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2" t="n">
        <v>1.308</v>
      </c>
      <c r="F11" s="3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8" t="n"/>
    </row>
    <row r="12" ht="78.75" customHeight="1" s="316">
      <c r="A12" s="320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7" t="n"/>
    </row>
    <row r="13" ht="63" customHeight="1" s="316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2025-01-24T12:05:33Z</dcterms:modified>
  <cp:lastModifiedBy>REDMIBOOK</cp:lastModifiedBy>
  <cp:lastPrinted>2023-11-30T03:52:07Z</cp:lastPrinted>
</cp:coreProperties>
</file>