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7" t="inlineStr">
        <is>
          <t>Наименование разрабатываемого показателя УНЦ - Муфта концевая 6 кВ сечением 300 мм2</t>
        </is>
      </c>
    </row>
    <row r="8">
      <c r="B8" s="227" t="inlineStr">
        <is>
          <t>Сопоставимый уровень цен: 2 квартал 2018 года</t>
        </is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235" t="inlineStr">
        <is>
          <t>Наименование объекта-представителя</t>
        </is>
      </c>
      <c r="D12" s="23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1" t="n">
        <v>2</v>
      </c>
      <c r="C13" s="235" t="inlineStr">
        <is>
          <t>Наименование субъекта Российской Федерации</t>
        </is>
      </c>
      <c r="D13" s="231" t="inlineStr">
        <is>
          <t>Челябинская область</t>
        </is>
      </c>
    </row>
    <row r="14">
      <c r="B14" s="231" t="n">
        <v>3</v>
      </c>
      <c r="C14" s="235" t="inlineStr">
        <is>
          <t>Климатический район и подрайон</t>
        </is>
      </c>
      <c r="D14" s="231" t="inlineStr">
        <is>
          <t>IВ</t>
        </is>
      </c>
    </row>
    <row r="15">
      <c r="B15" s="231" t="n">
        <v>4</v>
      </c>
      <c r="C15" s="235" t="inlineStr">
        <is>
          <t>Мощность объекта</t>
        </is>
      </c>
      <c r="D15" s="231" t="n">
        <v>1</v>
      </c>
    </row>
    <row r="16" ht="63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Муфта концевая 6 кВ сечением 300 мм2</t>
        </is>
      </c>
    </row>
    <row r="17" ht="63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>
        <f>D18+D19+D20+D21</f>
        <v/>
      </c>
      <c r="E17" s="163" t="n"/>
    </row>
    <row r="18">
      <c r="B18" s="151" t="inlineStr">
        <is>
          <t>6.1</t>
        </is>
      </c>
      <c r="C18" s="235" t="inlineStr">
        <is>
          <t>строительно-монтажные работы</t>
        </is>
      </c>
      <c r="D18" s="181" t="n">
        <v>31.26</v>
      </c>
    </row>
    <row r="19" ht="15.75" customHeight="1">
      <c r="B19" s="151" t="inlineStr">
        <is>
          <t>6.2</t>
        </is>
      </c>
      <c r="C19" s="235" t="inlineStr">
        <is>
          <t>оборудование и инвентарь</t>
        </is>
      </c>
      <c r="D19" s="181" t="n"/>
    </row>
    <row r="20" ht="16.5" customHeight="1">
      <c r="B20" s="151" t="inlineStr">
        <is>
          <t>6.3</t>
        </is>
      </c>
      <c r="C20" s="235" t="inlineStr">
        <is>
          <t>пусконаладочные работы</t>
        </is>
      </c>
      <c r="D20" s="181" t="n"/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1">
        <f>D18*2.5%+(D18+D18*2.5%)*2.9%</f>
        <v/>
      </c>
    </row>
    <row r="22">
      <c r="B22" s="231" t="n">
        <v>7</v>
      </c>
      <c r="C22" s="150" t="inlineStr">
        <is>
          <t>Сопоставимый уровень цен</t>
        </is>
      </c>
      <c r="D22" s="196" t="inlineStr">
        <is>
          <t>2 квартал 2018 года</t>
        </is>
      </c>
      <c r="E22" s="148" t="n"/>
    </row>
    <row r="23" ht="78.75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63" t="n"/>
    </row>
    <row r="24" ht="31.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E24" s="148" t="n"/>
    </row>
    <row r="25">
      <c r="B25" s="231" t="n">
        <v>10</v>
      </c>
      <c r="C25" s="235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220.5" customHeight="1">
      <c r="B12" s="231" t="n">
        <v>1</v>
      </c>
      <c r="C12" s="231" t="inlineStr">
        <is>
          <t>Муфта концевая 6 кВ сечением 300 мм2</t>
        </is>
      </c>
      <c r="D12" s="151" t="inlineStr">
        <is>
          <t>02-01-05</t>
        </is>
      </c>
      <c r="E12" s="2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5" t="n"/>
      <c r="G12" s="190">
        <f>31264.7811/1000</f>
        <v/>
      </c>
      <c r="H12" s="190" t="n"/>
      <c r="I12" s="190" t="n"/>
      <c r="J12" s="190">
        <f>SUM(F12:I12)</f>
        <v/>
      </c>
    </row>
    <row r="13" ht="15" customHeight="1">
      <c r="B13" s="229" t="inlineStr">
        <is>
          <t>Всего по объекту:</t>
        </is>
      </c>
      <c r="C13" s="314" t="n"/>
      <c r="D13" s="314" t="n"/>
      <c r="E13" s="315" t="n"/>
      <c r="F13" s="191" t="n"/>
      <c r="G13" s="192">
        <f>SUM(G12)</f>
        <v/>
      </c>
      <c r="H13" s="192" t="n"/>
      <c r="I13" s="192" t="n"/>
      <c r="J13" s="193">
        <f>SUM(J12)</f>
        <v/>
      </c>
    </row>
    <row r="14" ht="15.75" customHeight="1">
      <c r="B14" s="230" t="inlineStr">
        <is>
          <t>Всего по объекту в сопоставимом уровне цен 2 кв. 2018 г:</t>
        </is>
      </c>
      <c r="C14" s="310" t="n"/>
      <c r="D14" s="310" t="n"/>
      <c r="E14" s="311" t="n"/>
      <c r="F14" s="194" t="n"/>
      <c r="G14" s="195">
        <f>G13</f>
        <v/>
      </c>
      <c r="H14" s="195" t="n"/>
      <c r="I14" s="195" t="n"/>
      <c r="J14" s="193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5" zoomScale="145" zoomScaleSheetLayoutView="145" workbookViewId="0">
      <selection activeCell="C37" sqref="C37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69" t="n"/>
      <c r="B4" s="169" t="n"/>
      <c r="C4" s="237" t="n"/>
    </row>
    <row r="5">
      <c r="A5" s="227" t="n"/>
    </row>
    <row r="6">
      <c r="A6" s="236" t="inlineStr">
        <is>
          <t>Наименование разрабатываемого показателя УНЦ -  Муфта концевая 6 кВ сечением 300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1" t="inlineStr">
        <is>
          <t>на ед.изм.</t>
        </is>
      </c>
      <c r="H9" s="231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5">
      <c r="A11" s="233" t="inlineStr">
        <is>
          <t>Затраты труда рабочих</t>
        </is>
      </c>
      <c r="B11" s="310" t="n"/>
      <c r="C11" s="310" t="n"/>
      <c r="D11" s="310" t="n"/>
      <c r="E11" s="311" t="n"/>
      <c r="F11" s="316">
        <f>SUM(F12:F12)</f>
        <v/>
      </c>
      <c r="G11" s="10" t="n"/>
      <c r="H11" s="317">
        <f>SUM(H12:H12)</f>
        <v/>
      </c>
    </row>
    <row r="12">
      <c r="A12" s="242" t="n">
        <v>1</v>
      </c>
      <c r="B12" s="182" t="n"/>
      <c r="C12" s="135" t="inlineStr">
        <is>
          <t>1-3-8</t>
        </is>
      </c>
      <c r="D12" s="250" t="inlineStr">
        <is>
          <t>Затраты труда рабочих (средний разряд работы 3,8)</t>
        </is>
      </c>
      <c r="E12" s="242" t="inlineStr">
        <is>
          <t>чел.-ч</t>
        </is>
      </c>
      <c r="F12" s="242" t="n">
        <v>14.52</v>
      </c>
      <c r="G12" s="318" t="n">
        <v>9.4</v>
      </c>
      <c r="H12" s="127">
        <f>ROUND(F12*G12,2)</f>
        <v/>
      </c>
      <c r="M12" s="319" t="n"/>
    </row>
    <row r="13">
      <c r="A13" s="232" t="inlineStr">
        <is>
          <t>Затраты труда машинистов</t>
        </is>
      </c>
      <c r="B13" s="310" t="n"/>
      <c r="C13" s="310" t="n"/>
      <c r="D13" s="310" t="n"/>
      <c r="E13" s="311" t="n"/>
      <c r="F13" s="233" t="n"/>
      <c r="G13" s="185" t="n"/>
      <c r="H13" s="317">
        <f>H14</f>
        <v/>
      </c>
    </row>
    <row r="14">
      <c r="A14" s="242" t="n">
        <v>2</v>
      </c>
      <c r="B14" s="234" t="n"/>
      <c r="C14" s="135" t="n">
        <v>2</v>
      </c>
      <c r="D14" s="250" t="inlineStr">
        <is>
          <t>Затраты труда машинистов</t>
        </is>
      </c>
      <c r="E14" s="242" t="inlineStr">
        <is>
          <t>чел.-ч</t>
        </is>
      </c>
      <c r="F14" s="242" t="n">
        <v>12.06</v>
      </c>
      <c r="G14" s="32" t="n"/>
      <c r="H14" s="187" t="n">
        <v>162.82</v>
      </c>
    </row>
    <row r="15" customFormat="1" s="155">
      <c r="A15" s="233" t="inlineStr">
        <is>
          <t>Машины и механизмы</t>
        </is>
      </c>
      <c r="B15" s="310" t="n"/>
      <c r="C15" s="310" t="n"/>
      <c r="D15" s="310" t="n"/>
      <c r="E15" s="311" t="n"/>
      <c r="F15" s="233" t="n"/>
      <c r="G15" s="185" t="n"/>
      <c r="H15" s="317">
        <f>SUM(H16:H16)</f>
        <v/>
      </c>
    </row>
    <row r="16">
      <c r="A16" s="242" t="n">
        <v>3</v>
      </c>
      <c r="B16" s="234" t="n"/>
      <c r="C16" s="135" t="inlineStr">
        <is>
          <t>91.06.09-001</t>
        </is>
      </c>
      <c r="D16" s="250" t="inlineStr">
        <is>
          <t>Вышки телескопические 25 м</t>
        </is>
      </c>
      <c r="E16" s="242" t="inlineStr">
        <is>
          <t>маш.час</t>
        </is>
      </c>
      <c r="F16" s="242" t="n">
        <v>12.06</v>
      </c>
      <c r="G16" s="188" t="n">
        <v>142.7</v>
      </c>
      <c r="H16" s="127">
        <f>ROUND(F16*G16,2)</f>
        <v/>
      </c>
      <c r="I16" s="174" t="n"/>
      <c r="J16" s="174" t="n"/>
      <c r="L16" s="174" t="n"/>
    </row>
    <row r="17">
      <c r="A17" s="233" t="inlineStr">
        <is>
          <t>Материалы</t>
        </is>
      </c>
      <c r="B17" s="310" t="n"/>
      <c r="C17" s="310" t="n"/>
      <c r="D17" s="310" t="n"/>
      <c r="E17" s="311" t="n"/>
      <c r="F17" s="233" t="n"/>
      <c r="G17" s="185" t="n"/>
      <c r="H17" s="317">
        <f>SUM(H18:H21)</f>
        <v/>
      </c>
    </row>
    <row r="18">
      <c r="A18" s="7" t="n">
        <v>4</v>
      </c>
      <c r="B18" s="7" t="n"/>
      <c r="C18" s="242" t="inlineStr">
        <is>
          <t>Прайс из СД ОП</t>
        </is>
      </c>
      <c r="D18" s="25" t="inlineStr">
        <is>
          <t>Муфта концевая 6 кВ сечением 300 мм2</t>
        </is>
      </c>
      <c r="E18" s="242" t="inlineStr">
        <is>
          <t>шт</t>
        </is>
      </c>
      <c r="F18" s="242" t="n">
        <v>6</v>
      </c>
      <c r="G18" s="25" t="n">
        <v>518.24</v>
      </c>
      <c r="H18" s="127">
        <f>ROUND(F18*G18,2)</f>
        <v/>
      </c>
    </row>
    <row r="19">
      <c r="A19" s="189" t="n">
        <v>5</v>
      </c>
      <c r="B19" s="234" t="n"/>
      <c r="C19" s="135" t="inlineStr">
        <is>
          <t>01.3.01.01-0001</t>
        </is>
      </c>
      <c r="D19" s="250" t="inlineStr">
        <is>
          <t>Бензин авиационный Б-70</t>
        </is>
      </c>
      <c r="E19" s="242" t="inlineStr">
        <is>
          <t>т</t>
        </is>
      </c>
      <c r="F19" s="242" t="n">
        <v>0.0008</v>
      </c>
      <c r="G19" s="32" t="n">
        <v>4488.4</v>
      </c>
      <c r="H19" s="127">
        <f>ROUND(F19*G19,2)</f>
        <v/>
      </c>
      <c r="I19" s="162" t="n"/>
      <c r="J19" s="174" t="n"/>
      <c r="K19" s="174" t="n"/>
    </row>
    <row r="20">
      <c r="A20" s="189" t="n">
        <v>6</v>
      </c>
      <c r="B20" s="234" t="n"/>
      <c r="C20" s="135" t="inlineStr">
        <is>
          <t>01.7.06.07-0002</t>
        </is>
      </c>
      <c r="D20" s="250" t="inlineStr">
        <is>
          <t>Лента монтажная, тип ЛМ-5</t>
        </is>
      </c>
      <c r="E20" s="242" t="inlineStr">
        <is>
          <t>10 м</t>
        </is>
      </c>
      <c r="F20" s="242" t="n">
        <v>0.048</v>
      </c>
      <c r="G20" s="32" t="n">
        <v>6.9</v>
      </c>
      <c r="H20" s="127">
        <f>ROUND(F20*G20,2)</f>
        <v/>
      </c>
      <c r="I20" s="162" t="n"/>
      <c r="J20" s="174" t="n"/>
      <c r="K20" s="174" t="n"/>
    </row>
    <row r="21">
      <c r="A21" s="7" t="n">
        <v>7</v>
      </c>
      <c r="B21" s="234" t="n"/>
      <c r="C21" s="135" t="inlineStr">
        <is>
          <t>01.3.01.05-0009</t>
        </is>
      </c>
      <c r="D21" s="250" t="inlineStr">
        <is>
          <t>Парафин нефтяной твердый Т-1</t>
        </is>
      </c>
      <c r="E21" s="242" t="inlineStr">
        <is>
          <t>т</t>
        </is>
      </c>
      <c r="F21" s="242" t="n">
        <v>2e-05</v>
      </c>
      <c r="G21" s="32" t="n">
        <v>8105.71</v>
      </c>
      <c r="H21" s="127">
        <f>ROUND(F21*G21,2)</f>
        <v/>
      </c>
      <c r="I21" s="162" t="n"/>
      <c r="J21" s="174" t="n"/>
      <c r="K21" s="174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концевая 6 кВ сечением 300 мм2</t>
        </is>
      </c>
    </row>
    <row r="8">
      <c r="B8" s="238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ОБ'!E44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7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18" t="inlineStr">
        <is>
          <t>Муфта концевая 6 кВ сечением 300 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1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2" t="inlineStr">
        <is>
          <t>на ед. изм.</t>
        </is>
      </c>
      <c r="G11" s="242" t="inlineStr">
        <is>
          <t>общая</t>
        </is>
      </c>
      <c r="H11" s="313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49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21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49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21" t="n">
        <v>12.06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49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2" t="n">
        <v>3</v>
      </c>
      <c r="B20" s="171" t="inlineStr">
        <is>
          <t>91.06.09-001</t>
        </is>
      </c>
      <c r="C20" s="167" t="inlineStr">
        <is>
          <t>Вышки телескопические 25 м</t>
        </is>
      </c>
      <c r="D20" s="242" t="inlineStr">
        <is>
          <t>маш.час</t>
        </is>
      </c>
      <c r="E20" s="322" t="n">
        <v>12.06</v>
      </c>
      <c r="F20" s="176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2" t="n"/>
      <c r="B21" s="242" t="n"/>
      <c r="C21" s="250" t="inlineStr">
        <is>
          <t>Итого основные машины и механизмы</t>
        </is>
      </c>
      <c r="D21" s="242" t="n"/>
      <c r="E21" s="321" t="n"/>
      <c r="F21" s="32" t="n"/>
      <c r="G21" s="32">
        <f>SUM(G20:G20)</f>
        <v/>
      </c>
      <c r="H21" s="253">
        <f>G21/G23</f>
        <v/>
      </c>
      <c r="I21" s="127" t="n"/>
      <c r="J21" s="32">
        <f>SUM(J20:J20)</f>
        <v/>
      </c>
    </row>
    <row r="22" ht="14.25" customFormat="1" customHeight="1" s="12">
      <c r="A22" s="242" t="n"/>
      <c r="B22" s="242" t="n"/>
      <c r="C22" s="250" t="inlineStr">
        <is>
          <t>Итого прочие машины и механизмы</t>
        </is>
      </c>
      <c r="D22" s="242" t="n"/>
      <c r="E22" s="251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2" t="n"/>
      <c r="B23" s="242" t="n"/>
      <c r="C23" s="249" t="inlineStr">
        <is>
          <t>Итого по разделу «Машины и механизмы»</t>
        </is>
      </c>
      <c r="D23" s="242" t="n"/>
      <c r="E23" s="251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2" t="n"/>
      <c r="B24" s="249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2" t="n"/>
      <c r="B25" s="250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2" t="n"/>
      <c r="B26" s="242" t="n"/>
      <c r="C26" s="250" t="inlineStr">
        <is>
          <t>Итого основное оборудование</t>
        </is>
      </c>
      <c r="D26" s="242" t="n"/>
      <c r="E26" s="323" t="n"/>
      <c r="F26" s="252" t="n"/>
      <c r="G26" s="32" t="n">
        <v>0</v>
      </c>
      <c r="H26" s="128" t="n">
        <v>0</v>
      </c>
      <c r="I26" s="127" t="n"/>
      <c r="J26" s="32" t="n">
        <v>0</v>
      </c>
    </row>
    <row r="27">
      <c r="A27" s="242" t="n"/>
      <c r="B27" s="242" t="n"/>
      <c r="C27" s="250" t="inlineStr">
        <is>
          <t>Итого прочее оборудование</t>
        </is>
      </c>
      <c r="D27" s="242" t="n"/>
      <c r="E27" s="321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49" t="inlineStr">
        <is>
          <t>Итого по разделу «Оборудование»</t>
        </is>
      </c>
      <c r="D28" s="242" t="n"/>
      <c r="E28" s="251" t="n"/>
      <c r="F28" s="252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42" t="n"/>
      <c r="B29" s="242" t="n"/>
      <c r="C29" s="250" t="inlineStr">
        <is>
          <t>в том числе технологическое оборудование</t>
        </is>
      </c>
      <c r="D29" s="242" t="n"/>
      <c r="E29" s="323" t="n"/>
      <c r="F29" s="252" t="n"/>
      <c r="G29" s="32">
        <f>'Прил.6 Расчет ОБ'!G12</f>
        <v/>
      </c>
      <c r="H29" s="253" t="n"/>
      <c r="I29" s="127" t="n"/>
      <c r="J29" s="32">
        <f>J28</f>
        <v/>
      </c>
    </row>
    <row r="30" ht="14.25" customFormat="1" customHeight="1" s="12">
      <c r="A30" s="242" t="n"/>
      <c r="B30" s="249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3" t="n"/>
      <c r="B31" s="245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14.25" customFormat="1" customHeight="1" s="12">
      <c r="A32" s="242" t="n">
        <v>6</v>
      </c>
      <c r="B32" s="242" t="inlineStr">
        <is>
          <t>БЦ.91.30</t>
        </is>
      </c>
      <c r="C32" s="167" t="inlineStr">
        <is>
          <t>Муфта концевая 6 кВ сечением 300 мм2</t>
        </is>
      </c>
      <c r="D32" s="242" t="inlineStr">
        <is>
          <t>шт</t>
        </is>
      </c>
      <c r="E32" s="323" t="n">
        <v>6</v>
      </c>
      <c r="F32" s="252">
        <f>ROUND(I32/'Прил. 10'!$D$13,2)</f>
        <v/>
      </c>
      <c r="G32" s="32">
        <f>ROUND(E32*F32,2)</f>
        <v/>
      </c>
      <c r="H32" s="128">
        <f>G32/$G$38</f>
        <v/>
      </c>
      <c r="I32" s="32" t="n">
        <v>2900.82</v>
      </c>
      <c r="J32" s="32">
        <f>ROUND(I32*E32,2)</f>
        <v/>
      </c>
    </row>
    <row r="33" ht="14.25" customFormat="1" customHeight="1" s="12">
      <c r="A33" s="244" t="n"/>
      <c r="B33" s="140" t="n"/>
      <c r="C33" s="141" t="inlineStr">
        <is>
          <t>Итого основные материалы</t>
        </is>
      </c>
      <c r="D33" s="244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42" t="n">
        <v>7</v>
      </c>
      <c r="B34" s="171" t="inlineStr">
        <is>
          <t>01.3.01.01-0001</t>
        </is>
      </c>
      <c r="C34" s="167" t="inlineStr">
        <is>
          <t>Бензин авиационный Б-70</t>
        </is>
      </c>
      <c r="D34" s="264" t="inlineStr">
        <is>
          <t>т</t>
        </is>
      </c>
      <c r="E34" s="322" t="n">
        <v>0.0008</v>
      </c>
      <c r="F34" s="16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2" t="n">
        <v>8</v>
      </c>
      <c r="B35" s="171" t="inlineStr">
        <is>
          <t>01.7.06.07-0002</t>
        </is>
      </c>
      <c r="C35" s="167" t="inlineStr">
        <is>
          <t>Лента монтажная, тип ЛМ-5</t>
        </is>
      </c>
      <c r="D35" s="264" t="inlineStr">
        <is>
          <t>10 м</t>
        </is>
      </c>
      <c r="E35" s="322" t="n">
        <v>0.048</v>
      </c>
      <c r="F35" s="165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9</v>
      </c>
      <c r="B36" s="171" t="inlineStr">
        <is>
          <t>01.3.01.05-0009</t>
        </is>
      </c>
      <c r="C36" s="167" t="inlineStr">
        <is>
          <t>Парафин нефтяной твердый Т-1</t>
        </is>
      </c>
      <c r="D36" s="264" t="inlineStr">
        <is>
          <t>т</t>
        </is>
      </c>
      <c r="E36" s="322" t="n">
        <v>2e-05</v>
      </c>
      <c r="F36" s="165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141" t="inlineStr">
        <is>
          <t>Итого прочие материалы</t>
        </is>
      </c>
      <c r="D37" s="244" t="n"/>
      <c r="E37" s="326" t="n"/>
      <c r="F37" s="173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2" t="n"/>
      <c r="B38" s="242" t="n"/>
      <c r="C38" s="249" t="inlineStr">
        <is>
          <t>Итого по разделу «Материалы»</t>
        </is>
      </c>
      <c r="D38" s="242" t="n"/>
      <c r="E38" s="251" t="n"/>
      <c r="F38" s="252" t="n"/>
      <c r="G38" s="32">
        <f>G33+G37</f>
        <v/>
      </c>
      <c r="H38" s="253">
        <f>G38/$G$38</f>
        <v/>
      </c>
      <c r="I38" s="32" t="n"/>
      <c r="J38" s="32">
        <f>J33+J37</f>
        <v/>
      </c>
    </row>
    <row r="39" ht="14.25" customFormat="1" customHeight="1" s="12">
      <c r="A39" s="242" t="n"/>
      <c r="B39" s="242" t="n"/>
      <c r="C39" s="250" t="inlineStr">
        <is>
          <t>ИТОГО ПО РМ</t>
        </is>
      </c>
      <c r="D39" s="242" t="n"/>
      <c r="E39" s="251" t="n"/>
      <c r="F39" s="252" t="n"/>
      <c r="G39" s="32">
        <f>G15+G23+G38</f>
        <v/>
      </c>
      <c r="H39" s="253" t="n"/>
      <c r="I39" s="32" t="n"/>
      <c r="J39" s="32">
        <f>J15+J23+J38</f>
        <v/>
      </c>
    </row>
    <row r="40" ht="14.25" customFormat="1" customHeight="1" s="12">
      <c r="A40" s="242" t="n"/>
      <c r="B40" s="242" t="n"/>
      <c r="C40" s="250" t="inlineStr">
        <is>
          <t>Накладные расходы</t>
        </is>
      </c>
      <c r="D40" s="133">
        <f>ROUND(G40/(G$17+$G$15),2)</f>
        <v/>
      </c>
      <c r="E40" s="251" t="n"/>
      <c r="F40" s="252" t="n"/>
      <c r="G40" s="32" t="n">
        <v>290.32</v>
      </c>
      <c r="H40" s="253" t="n"/>
      <c r="I40" s="32" t="n"/>
      <c r="J40" s="32">
        <f>ROUND(D40*(J15+J17),2)</f>
        <v/>
      </c>
    </row>
    <row r="41" ht="14.25" customFormat="1" customHeight="1" s="12">
      <c r="A41" s="242" t="n"/>
      <c r="B41" s="242" t="n"/>
      <c r="C41" s="250" t="inlineStr">
        <is>
          <t>Сметная прибыль</t>
        </is>
      </c>
      <c r="D41" s="133">
        <f>ROUND(G41/(G$15+G$17),2)</f>
        <v/>
      </c>
      <c r="E41" s="251" t="n"/>
      <c r="F41" s="252" t="n"/>
      <c r="G41" s="32" t="n">
        <v>152.64</v>
      </c>
      <c r="H41" s="253" t="n"/>
      <c r="I41" s="32" t="n"/>
      <c r="J41" s="32">
        <f>ROUND(D41*(J15+J17),2)</f>
        <v/>
      </c>
    </row>
    <row r="42" ht="14.25" customFormat="1" customHeight="1" s="12">
      <c r="A42" s="242" t="n"/>
      <c r="B42" s="242" t="n"/>
      <c r="C42" s="250" t="inlineStr">
        <is>
          <t>Итого СМР (с НР и СП)</t>
        </is>
      </c>
      <c r="D42" s="242" t="n"/>
      <c r="E42" s="251" t="n"/>
      <c r="F42" s="252" t="n"/>
      <c r="G42" s="32">
        <f>G15+G23+G38+G40+G41</f>
        <v/>
      </c>
      <c r="H42" s="253" t="n"/>
      <c r="I42" s="32" t="n"/>
      <c r="J42" s="32">
        <f>J15+J23+J38+J40+J41</f>
        <v/>
      </c>
    </row>
    <row r="43" ht="14.25" customFormat="1" customHeight="1" s="12">
      <c r="A43" s="242" t="n"/>
      <c r="B43" s="242" t="n"/>
      <c r="C43" s="250" t="inlineStr">
        <is>
          <t>ВСЕГО СМР + ОБОРУДОВАНИЕ</t>
        </is>
      </c>
      <c r="D43" s="242" t="n"/>
      <c r="E43" s="251" t="n"/>
      <c r="F43" s="252" t="n"/>
      <c r="G43" s="32">
        <f>G42+G28</f>
        <v/>
      </c>
      <c r="H43" s="253" t="n"/>
      <c r="I43" s="32" t="n"/>
      <c r="J43" s="32">
        <f>J42+J28</f>
        <v/>
      </c>
    </row>
    <row r="44" ht="34.5" customFormat="1" customHeight="1" s="12">
      <c r="A44" s="242" t="n"/>
      <c r="B44" s="242" t="n"/>
      <c r="C44" s="250" t="inlineStr">
        <is>
          <t>ИТОГО ПОКАЗАТЕЛЬ НА ЕД. ИЗМ.</t>
        </is>
      </c>
      <c r="D44" s="242" t="inlineStr">
        <is>
          <t>1 ед</t>
        </is>
      </c>
      <c r="E44" s="323" t="n">
        <v>1</v>
      </c>
      <c r="F44" s="252" t="n"/>
      <c r="G44" s="32">
        <f>G43/E44</f>
        <v/>
      </c>
      <c r="H44" s="253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5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Муфта концевая 6 кВ сечением 300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2" t="n"/>
      <c r="B10" s="249" t="n"/>
      <c r="C10" s="250" t="inlineStr">
        <is>
          <t>ИТОГО ИНЖЕНЕРНОЕ ОБОРУДОВАНИЕ</t>
        </is>
      </c>
      <c r="D10" s="249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3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3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225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К2-09-1</t>
        </is>
      </c>
      <c r="B11" s="231" t="inlineStr">
        <is>
          <t xml:space="preserve">УНЦ КЛ 6 - 500 кВ (с медной жилой) </t>
        </is>
      </c>
      <c r="C11" s="181">
        <f>D5</f>
        <v/>
      </c>
      <c r="D11" s="18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31.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31.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10.84</v>
      </c>
    </row>
    <row r="13" ht="31.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5.34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231" t="inlineStr">
        <is>
          <t>Письмо Минстроя России от 23.02.2023г. №9791-ИФ/09 прил.6</t>
        </is>
      </c>
      <c r="D14" s="231" t="n">
        <v>6.26</v>
      </c>
    </row>
    <row r="15" ht="78.7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5" customHeight="1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20" t="n">
        <v>0.002</v>
      </c>
    </row>
    <row r="20" ht="15.75" customHeight="1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6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80">
        <f>1973/12</f>
        <v/>
      </c>
      <c r="F8" s="201" t="inlineStr">
        <is>
          <t>Производственный календарь 2023 год
(40-часов.неделя)</t>
        </is>
      </c>
      <c r="G8" s="202" t="n"/>
    </row>
    <row r="9" ht="15.75" customHeight="1">
      <c r="A9" s="200" t="inlineStr">
        <is>
          <t>1.3</t>
        </is>
      </c>
      <c r="B9" s="20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80" t="n">
        <v>1</v>
      </c>
      <c r="F9" s="201" t="n"/>
      <c r="G9" s="202" t="n"/>
    </row>
    <row r="10" ht="15.75" customHeight="1">
      <c r="A10" s="200" t="inlineStr">
        <is>
          <t>1.4</t>
        </is>
      </c>
      <c r="B10" s="201" t="inlineStr">
        <is>
          <t>Средний разряд работ</t>
        </is>
      </c>
      <c r="C10" s="231" t="n"/>
      <c r="D10" s="231" t="n"/>
      <c r="E10" s="327" t="n">
        <v>3.8</v>
      </c>
      <c r="F10" s="201" t="inlineStr">
        <is>
          <t>РТМ</t>
        </is>
      </c>
      <c r="G10" s="202" t="n"/>
    </row>
    <row r="11" ht="78.75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8" t="n">
        <v>1.308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29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2025-01-24T12:05:41Z</dcterms:modified>
  <cp:lastModifiedBy>112</cp:lastModifiedBy>
  <cp:lastPrinted>2023-12-01T06:54:44Z</cp:lastPrinted>
</cp:coreProperties>
</file>