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0" t="n"/>
      <c r="C6" s="230" t="n"/>
      <c r="D6" s="230" t="n"/>
    </row>
    <row r="7">
      <c r="B7" s="324" t="inlineStr">
        <is>
          <t>Наименование разрабатываемого показателя УНЦ - КЛ 10 кВ (с медной жилой) сечение жилы 300 мм2</t>
        </is>
      </c>
    </row>
    <row r="8">
      <c r="B8" s="324" t="inlineStr">
        <is>
          <t>Сопоставимый уровень цен: 2 квартал 2018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11" t="n"/>
    </row>
    <row r="12" ht="96.75" customHeight="1" s="290">
      <c r="B12" s="339" t="n">
        <v>1</v>
      </c>
      <c r="C12" s="344" t="inlineStr">
        <is>
          <t>Наименование объекта-представителя</t>
        </is>
      </c>
      <c r="D12" s="33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9" t="n">
        <v>2</v>
      </c>
      <c r="C13" s="344" t="inlineStr">
        <is>
          <t>Наименование субъекта Российской Федерации</t>
        </is>
      </c>
      <c r="D13" s="339" t="inlineStr">
        <is>
          <t>Челябинская область</t>
        </is>
      </c>
    </row>
    <row r="14">
      <c r="B14" s="339" t="n">
        <v>3</v>
      </c>
      <c r="C14" s="344" t="inlineStr">
        <is>
          <t>Климатический район и подрайон</t>
        </is>
      </c>
      <c r="D14" s="339" t="inlineStr">
        <is>
          <t>IВ</t>
        </is>
      </c>
    </row>
    <row r="15">
      <c r="B15" s="339" t="n">
        <v>4</v>
      </c>
      <c r="C15" s="344" t="inlineStr">
        <is>
          <t>Мощность объекта</t>
        </is>
      </c>
      <c r="D15" s="339" t="n">
        <v>1</v>
      </c>
    </row>
    <row r="16" ht="63" customHeight="1" s="290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Кабель медный 10кВ 3х300 мм2</t>
        </is>
      </c>
    </row>
    <row r="17" ht="63" customHeight="1" s="290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8">
        <f>SUM(D18:D21)</f>
        <v/>
      </c>
      <c r="E17" s="229" t="n"/>
    </row>
    <row r="18">
      <c r="B18" s="282" t="inlineStr">
        <is>
          <t>6.1</t>
        </is>
      </c>
      <c r="C18" s="344" t="inlineStr">
        <is>
          <t>строительно-монтажные работы</t>
        </is>
      </c>
      <c r="D18" s="288" t="n">
        <v>1173.59</v>
      </c>
    </row>
    <row r="19" ht="15.75" customHeight="1" s="290">
      <c r="B19" s="282" t="inlineStr">
        <is>
          <t>6.2</t>
        </is>
      </c>
      <c r="C19" s="344" t="inlineStr">
        <is>
          <t>оборудование и инвентарь</t>
        </is>
      </c>
      <c r="D19" s="288" t="n">
        <v>0</v>
      </c>
    </row>
    <row r="20" ht="16.5" customHeight="1" s="290">
      <c r="B20" s="282" t="inlineStr">
        <is>
          <t>6.3</t>
        </is>
      </c>
      <c r="C20" s="344" t="inlineStr">
        <is>
          <t>пусконаладочные работы</t>
        </is>
      </c>
      <c r="D20" s="288" t="n">
        <v>0</v>
      </c>
    </row>
    <row r="21">
      <c r="B21" s="282" t="inlineStr">
        <is>
          <t>6.4</t>
        </is>
      </c>
      <c r="C21" s="209" t="inlineStr">
        <is>
          <t>прочие и лимитированные затраты</t>
        </is>
      </c>
      <c r="D21" s="288">
        <f>D18*2.5%+(D18+D18*2.5%)*2.9%</f>
        <v/>
      </c>
    </row>
    <row r="22">
      <c r="B22" s="339" t="n">
        <v>7</v>
      </c>
      <c r="C22" s="209" t="inlineStr">
        <is>
          <t>Сопоставимый уровень цен</t>
        </is>
      </c>
      <c r="D22" s="289" t="inlineStr">
        <is>
          <t xml:space="preserve">2 квартал 2018 года </t>
        </is>
      </c>
      <c r="E22" s="207" t="n"/>
    </row>
    <row r="23" ht="78.75" customHeight="1" s="290">
      <c r="B23" s="33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8">
        <f>D17</f>
        <v/>
      </c>
      <c r="E23" s="229" t="n"/>
    </row>
    <row r="24" ht="31.5" customHeight="1" s="290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8" t="n">
        <v>1237.81471275</v>
      </c>
      <c r="E24" s="207" t="n"/>
    </row>
    <row r="25">
      <c r="B25" s="339" t="n">
        <v>10</v>
      </c>
      <c r="C25" s="344" t="inlineStr">
        <is>
          <t>Примечание</t>
        </is>
      </c>
      <c r="D25" s="339" t="n"/>
    </row>
    <row r="26">
      <c r="B26" s="205" t="n"/>
      <c r="C26" s="204" t="n"/>
      <c r="D26" s="204" t="n"/>
    </row>
    <row r="27" ht="37.5" customHeight="1" s="290">
      <c r="B27" s="203" t="n"/>
    </row>
    <row r="28">
      <c r="B28" s="292" t="inlineStr">
        <is>
          <t>Составил ______________________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19:G20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3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1" t="n"/>
    </row>
    <row r="9" ht="15.75" customHeight="1" s="290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2018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220.5" customHeight="1" s="290">
      <c r="B12" s="339" t="n">
        <v>1</v>
      </c>
      <c r="C12" s="339" t="inlineStr">
        <is>
          <t>Кабель медный 10кВ 3х300 мм2</t>
        </is>
      </c>
      <c r="D12" s="282" t="inlineStr">
        <is>
          <t>02-01-05</t>
        </is>
      </c>
      <c r="E12" s="33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88" t="n"/>
      <c r="G12" s="288">
        <f>1173594.521/1000</f>
        <v/>
      </c>
      <c r="H12" s="288" t="n"/>
      <c r="I12" s="288" t="n"/>
      <c r="J12" s="288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85" t="n"/>
      <c r="G13" s="285">
        <f>SUM(G12)</f>
        <v/>
      </c>
      <c r="H13" s="285" t="n"/>
      <c r="I13" s="285" t="n"/>
      <c r="J13" s="285">
        <f>SUM(J12)</f>
        <v/>
      </c>
    </row>
    <row r="14" ht="15.75" customHeight="1" s="290">
      <c r="B14" s="424" t="inlineStr">
        <is>
          <t>Всего по объекту в сопоставимом уровне цен 2 кв. 2018 г:</t>
        </is>
      </c>
      <c r="C14" s="417" t="n"/>
      <c r="D14" s="417" t="n"/>
      <c r="E14" s="418" t="n"/>
      <c r="F14" s="286" t="n"/>
      <c r="G14" s="286">
        <f>G13</f>
        <v/>
      </c>
      <c r="H14" s="286" t="n"/>
      <c r="I14" s="286" t="n"/>
      <c r="J14" s="286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0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0">
      <c r="C20" s="269" t="n"/>
      <c r="D20" s="270" t="n"/>
      <c r="E20" s="270" t="n"/>
    </row>
    <row r="21" ht="15" customHeight="1" s="290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0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85" zoomScaleSheetLayoutView="85" workbookViewId="0">
      <selection activeCell="F31" sqref="F31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6" t="n"/>
      <c r="B5" s="236" t="n"/>
      <c r="C5" s="340" t="n"/>
    </row>
    <row r="6">
      <c r="A6" s="324" t="n"/>
    </row>
    <row r="7">
      <c r="A7" s="338" t="inlineStr">
        <is>
          <t>Наименование разрабатываемого показателя УНЦ -  КЛ 10 кВ (с медной жилой) сечение жилы 300 мм2</t>
        </is>
      </c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290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39" t="inlineStr">
        <is>
          <t>на ед.изм.</t>
        </is>
      </c>
      <c r="H10" s="339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4">
      <c r="A12" s="342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4" t="n"/>
      <c r="H12" s="425">
        <f>SUM(H13:H13)</f>
        <v/>
      </c>
    </row>
    <row r="13">
      <c r="A13" s="353" t="n">
        <v>1</v>
      </c>
      <c r="B13" s="274" t="n"/>
      <c r="C13" s="238" t="inlineStr">
        <is>
          <t>1-3-8</t>
        </is>
      </c>
      <c r="D13" s="352" t="inlineStr">
        <is>
          <t>Затраты труда рабочих (средний разряд работы 3,8)</t>
        </is>
      </c>
      <c r="E13" s="353" t="inlineStr">
        <is>
          <t>чел.-ч</t>
        </is>
      </c>
      <c r="F13" s="353" t="n">
        <v>231.2</v>
      </c>
      <c r="G13" s="426" t="n">
        <v>9.4</v>
      </c>
      <c r="H13" s="247">
        <f>ROUND(F13*G13,2)</f>
        <v/>
      </c>
    </row>
    <row r="14">
      <c r="A14" s="341" t="inlineStr">
        <is>
          <t>Затраты труда машинистов</t>
        </is>
      </c>
      <c r="B14" s="417" t="n"/>
      <c r="C14" s="417" t="n"/>
      <c r="D14" s="417" t="n"/>
      <c r="E14" s="418" t="n"/>
      <c r="F14" s="342" t="n"/>
      <c r="G14" s="277" t="n"/>
      <c r="H14" s="425">
        <f>H15</f>
        <v/>
      </c>
    </row>
    <row r="15">
      <c r="A15" s="353" t="n">
        <v>2</v>
      </c>
      <c r="B15" s="343" t="n"/>
      <c r="C15" s="238" t="n">
        <v>2</v>
      </c>
      <c r="D15" s="352" t="inlineStr">
        <is>
          <t>Затраты труда машинистов(справочно)</t>
        </is>
      </c>
      <c r="E15" s="353" t="inlineStr">
        <is>
          <t>чел.-ч</t>
        </is>
      </c>
      <c r="F15" s="353" t="n">
        <v>66.40000000000001</v>
      </c>
      <c r="G15" s="247" t="n"/>
      <c r="H15" s="426" t="n">
        <v>896.4</v>
      </c>
    </row>
    <row r="16" customFormat="1" s="264">
      <c r="A16" s="342" t="inlineStr">
        <is>
          <t>Машины и механизмы</t>
        </is>
      </c>
      <c r="B16" s="417" t="n"/>
      <c r="C16" s="417" t="n"/>
      <c r="D16" s="417" t="n"/>
      <c r="E16" s="418" t="n"/>
      <c r="F16" s="342" t="n"/>
      <c r="G16" s="277" t="n"/>
      <c r="H16" s="425">
        <f>SUM(H17:H20)</f>
        <v/>
      </c>
    </row>
    <row r="17" ht="25.5" customHeight="1" s="290">
      <c r="A17" s="353" t="n">
        <v>3</v>
      </c>
      <c r="B17" s="343" t="n"/>
      <c r="C17" s="238" t="inlineStr">
        <is>
          <t>91.05.05-015</t>
        </is>
      </c>
      <c r="D17" s="352" t="inlineStr">
        <is>
          <t>Краны на автомобильном ходу, грузоподъемность 16 т</t>
        </is>
      </c>
      <c r="E17" s="353" t="inlineStr">
        <is>
          <t>маш.час</t>
        </is>
      </c>
      <c r="F17" s="353" t="n">
        <v>33.2</v>
      </c>
      <c r="G17" s="370" t="n">
        <v>115.4</v>
      </c>
      <c r="H17" s="247">
        <f>ROUND(F17*G17,2)</f>
        <v/>
      </c>
      <c r="I17" s="235" t="n"/>
    </row>
    <row r="18">
      <c r="A18" s="353" t="n">
        <v>4</v>
      </c>
      <c r="B18" s="343" t="n"/>
      <c r="C18" s="238" t="inlineStr">
        <is>
          <t>91.14.02-003</t>
        </is>
      </c>
      <c r="D18" s="352" t="inlineStr">
        <is>
          <t>Автомобили бортовые, грузоподъемность до 10 т</t>
        </is>
      </c>
      <c r="E18" s="353" t="inlineStr">
        <is>
          <t>маш.час</t>
        </is>
      </c>
      <c r="F18" s="353" t="n">
        <v>33.2</v>
      </c>
      <c r="G18" s="370" t="n">
        <v>80.44</v>
      </c>
      <c r="H18" s="247">
        <f>ROUND(F18*G18,2)</f>
        <v/>
      </c>
      <c r="I18" s="235" t="n"/>
    </row>
    <row r="19" ht="25.5" customHeight="1" s="290">
      <c r="A19" s="353" t="n">
        <v>5</v>
      </c>
      <c r="B19" s="343" t="n"/>
      <c r="C19" s="238" t="inlineStr">
        <is>
          <t>91.06.03-063</t>
        </is>
      </c>
      <c r="D19" s="352" t="inlineStr">
        <is>
          <t>Лебедки электрические тяговым усилием до 49,05 кН (5 т)</t>
        </is>
      </c>
      <c r="E19" s="353" t="inlineStr">
        <is>
          <t>маш.час</t>
        </is>
      </c>
      <c r="F19" s="353" t="n">
        <v>49.8</v>
      </c>
      <c r="G19" s="370" t="n">
        <v>8.199999999999999</v>
      </c>
      <c r="H19" s="247">
        <f>ROUND(F19*G19,2)</f>
        <v/>
      </c>
      <c r="I19" s="235" t="n"/>
    </row>
    <row r="20">
      <c r="A20" s="353" t="n">
        <v>6</v>
      </c>
      <c r="B20" s="343" t="n"/>
      <c r="C20" s="238" t="inlineStr">
        <is>
          <t>91.06.01-003</t>
        </is>
      </c>
      <c r="D20" s="352" t="inlineStr">
        <is>
          <t>Домкраты гидравлические, грузоподъемность 63-100 т</t>
        </is>
      </c>
      <c r="E20" s="353" t="inlineStr">
        <is>
          <t>маш.час</t>
        </is>
      </c>
      <c r="F20" s="353" t="n">
        <v>49.8</v>
      </c>
      <c r="G20" s="370" t="n">
        <v>0.9</v>
      </c>
      <c r="H20" s="247">
        <f>ROUND(F20*G20,2)</f>
        <v/>
      </c>
      <c r="I20" s="235" t="n"/>
    </row>
    <row r="21">
      <c r="A21" s="342" t="inlineStr">
        <is>
          <t>Материалы</t>
        </is>
      </c>
      <c r="B21" s="417" t="n"/>
      <c r="C21" s="417" t="n"/>
      <c r="D21" s="417" t="n"/>
      <c r="E21" s="418" t="n"/>
      <c r="F21" s="342" t="n"/>
      <c r="G21" s="277" t="n"/>
      <c r="H21" s="425">
        <f>SUM(H22:H27)</f>
        <v/>
      </c>
    </row>
    <row r="22">
      <c r="A22" s="156" t="n">
        <v>7</v>
      </c>
      <c r="B22" s="343" t="n"/>
      <c r="C22" s="353" t="inlineStr">
        <is>
          <t>Прайс из СД ОП</t>
        </is>
      </c>
      <c r="D22" s="352" t="inlineStr">
        <is>
          <t>Кабель медный 10кВ 3х300 мм2</t>
        </is>
      </c>
      <c r="E22" s="353" t="inlineStr">
        <is>
          <t>км</t>
        </is>
      </c>
      <c r="F22" s="353" t="n">
        <v>3.3</v>
      </c>
      <c r="G22" s="247" t="n">
        <v>521559.14</v>
      </c>
      <c r="H22" s="247">
        <f>ROUND(F22*G22,2)</f>
        <v/>
      </c>
    </row>
    <row r="23" ht="25.5" customHeight="1" s="290">
      <c r="A23" s="279" t="n">
        <v>8</v>
      </c>
      <c r="B23" s="343" t="n"/>
      <c r="C23" s="238" t="inlineStr">
        <is>
          <t>08.3.08.02-0052</t>
        </is>
      </c>
      <c r="D23" s="352" t="inlineStr">
        <is>
          <t>Уголок горячекатаный, марка стали ВСт3кп2, размер 50х50х5 мм</t>
        </is>
      </c>
      <c r="E23" s="353" t="inlineStr">
        <is>
          <t>т</t>
        </is>
      </c>
      <c r="F23" s="353" t="n">
        <v>0.1</v>
      </c>
      <c r="G23" s="247" t="n">
        <v>5763</v>
      </c>
      <c r="H23" s="247">
        <f>ROUND(F23*G23,2)</f>
        <v/>
      </c>
      <c r="I23" s="232" t="n"/>
    </row>
    <row r="24">
      <c r="A24" s="156" t="n">
        <v>9</v>
      </c>
      <c r="B24" s="343" t="n"/>
      <c r="C24" s="238" t="inlineStr">
        <is>
          <t>14.4.02.09-0001</t>
        </is>
      </c>
      <c r="D24" s="352" t="inlineStr">
        <is>
          <t>Краска</t>
        </is>
      </c>
      <c r="E24" s="353" t="inlineStr">
        <is>
          <t>кг</t>
        </is>
      </c>
      <c r="F24" s="353" t="n">
        <v>2.5</v>
      </c>
      <c r="G24" s="247" t="n">
        <v>28.6</v>
      </c>
      <c r="H24" s="247">
        <f>ROUND(F24*G24,2)</f>
        <v/>
      </c>
      <c r="I24" s="232" t="n"/>
    </row>
    <row r="25" ht="25.5" customHeight="1" s="290">
      <c r="A25" s="279" t="n">
        <v>10</v>
      </c>
      <c r="B25" s="343" t="n"/>
      <c r="C25" s="238" t="inlineStr">
        <is>
          <t>08.3.07.01-0076</t>
        </is>
      </c>
      <c r="D25" s="352" t="inlineStr">
        <is>
          <t>Прокат полосовой, горячекатаный, марка стали Ст3сп, ширина 50-200 мм, толщина 4-5 мм</t>
        </is>
      </c>
      <c r="E25" s="353" t="inlineStr">
        <is>
          <t>т</t>
        </is>
      </c>
      <c r="F25" s="353" t="n">
        <v>0.01</v>
      </c>
      <c r="G25" s="247" t="n">
        <v>5000</v>
      </c>
      <c r="H25" s="247">
        <f>ROUND(F25*G25,2)</f>
        <v/>
      </c>
      <c r="I25" s="232" t="n"/>
    </row>
    <row r="26">
      <c r="A26" s="279" t="n">
        <v>11</v>
      </c>
      <c r="B26" s="343" t="n"/>
      <c r="C26" s="238" t="inlineStr">
        <is>
          <t>01.7.06.07-0002</t>
        </is>
      </c>
      <c r="D26" s="352" t="inlineStr">
        <is>
          <t>Лента монтажная, тип ЛМ-5</t>
        </is>
      </c>
      <c r="E26" s="353" t="inlineStr">
        <is>
          <t>10 м</t>
        </is>
      </c>
      <c r="F26" s="353" t="n">
        <v>0.96</v>
      </c>
      <c r="G26" s="247" t="n">
        <v>6.9</v>
      </c>
      <c r="H26" s="247">
        <f>ROUND(F26*G26,2)</f>
        <v/>
      </c>
      <c r="I26" s="232" t="n"/>
    </row>
    <row r="27">
      <c r="A27" s="156" t="n">
        <v>12</v>
      </c>
      <c r="B27" s="343" t="n"/>
      <c r="C27" s="238" t="inlineStr">
        <is>
          <t>14.4.03.03-0002</t>
        </is>
      </c>
      <c r="D27" s="352" t="inlineStr">
        <is>
          <t>Лак битумный БТ-123</t>
        </is>
      </c>
      <c r="E27" s="353" t="inlineStr">
        <is>
          <t>т</t>
        </is>
      </c>
      <c r="F27" s="353" t="n">
        <v>0.0005999999999999999</v>
      </c>
      <c r="G27" s="247" t="n">
        <v>7826.9</v>
      </c>
      <c r="H27" s="247">
        <f>ROUND(F27*G27,2)</f>
        <v/>
      </c>
      <c r="I27" s="232" t="n"/>
    </row>
    <row r="30">
      <c r="B30" s="292" t="inlineStr">
        <is>
          <t>Составил ______________________     А.Р. Маркова</t>
        </is>
      </c>
    </row>
    <row r="31">
      <c r="B31" s="203" t="inlineStr">
        <is>
          <t xml:space="preserve">                         (подпись, инициалы, фамилия)</t>
        </is>
      </c>
    </row>
    <row r="33">
      <c r="B33" s="292" t="inlineStr">
        <is>
          <t>Проверил ______________________        А.В. Костянецкая</t>
        </is>
      </c>
    </row>
    <row r="34">
      <c r="B34" s="203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5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2" t="inlineStr">
        <is>
          <t>Ресурсная модель</t>
        </is>
      </c>
    </row>
    <row r="6">
      <c r="B6" s="226" t="n"/>
      <c r="C6" s="269" t="n"/>
      <c r="D6" s="269" t="n"/>
      <c r="E6" s="269" t="n"/>
    </row>
    <row r="7">
      <c r="B7" s="321" t="inlineStr">
        <is>
          <t>Наименование разрабатываемого показателя УНЦ — КЛ 10 кВ (с медной жилой) сечение жилы 300 мм2</t>
        </is>
      </c>
    </row>
    <row r="8">
      <c r="B8" s="345" t="inlineStr">
        <is>
          <t>Единица измерения  — 1 км</t>
        </is>
      </c>
    </row>
    <row r="9">
      <c r="B9" s="226" t="n"/>
      <c r="C9" s="269" t="n"/>
      <c r="D9" s="269" t="n"/>
      <c r="E9" s="269" t="n"/>
    </row>
    <row r="10" ht="51" customHeight="1" s="290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19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19">
        <f>'Прил.5 Расчет СМР и ОБ'!J21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19">
        <f>'Прил.5 Расчет СМР и ОБ'!J24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19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19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19">
        <f>'Прил.5 Расчет СМР и ОБ'!J35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19">
        <f>'Прил.5 Расчет СМР и ОБ'!J41</f>
        <v/>
      </c>
      <c r="D17" s="220">
        <f>C17/$C$24</f>
        <v/>
      </c>
      <c r="E17" s="220">
        <f>C17/$C$40</f>
        <v/>
      </c>
      <c r="G17" s="427" t="n"/>
    </row>
    <row r="18">
      <c r="B18" s="218" t="inlineStr">
        <is>
          <t>МАТЕРИАЛЫ, ВСЕГО:</t>
        </is>
      </c>
      <c r="C18" s="219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19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19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ОБ'!D45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19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ОБ'!D44</f>
        <v/>
      </c>
      <c r="D23" s="220" t="n"/>
      <c r="E23" s="218" t="n"/>
    </row>
    <row r="24">
      <c r="B24" s="218" t="inlineStr">
        <is>
          <t>ВСЕГО СМР с НР и СП</t>
        </is>
      </c>
      <c r="C24" s="219">
        <f>C19+C20+C22</f>
        <v/>
      </c>
      <c r="D24" s="220">
        <f>C24/$C$24</f>
        <v/>
      </c>
      <c r="E24" s="220">
        <f>C24/$C$40</f>
        <v/>
      </c>
    </row>
    <row r="25" ht="25.5" customHeight="1" s="290">
      <c r="B25" s="218" t="inlineStr">
        <is>
          <t>ВСЕГО стоимость оборудования, в том числе</t>
        </is>
      </c>
      <c r="C25" s="219">
        <f>'Прил.5 Расчет СМР и ОБ'!J30</f>
        <v/>
      </c>
      <c r="D25" s="220" t="n"/>
      <c r="E25" s="220">
        <f>C25/$C$40</f>
        <v/>
      </c>
    </row>
    <row r="26" ht="25.5" customHeight="1" s="290">
      <c r="B26" s="218" t="inlineStr">
        <is>
          <t>стоимость оборудования технологического</t>
        </is>
      </c>
      <c r="C26" s="219">
        <f>'Прил.5 Расчет СМР и ОБ'!J31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290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290">
      <c r="B29" s="218" t="inlineStr">
        <is>
          <t>Временные здания и сооружения - 2,5%</t>
        </is>
      </c>
      <c r="C29" s="222">
        <f>ROUND(C24*2.5%,2)</f>
        <v/>
      </c>
      <c r="D29" s="218" t="n"/>
      <c r="E29" s="220">
        <f>C29/$C$40</f>
        <v/>
      </c>
    </row>
    <row r="30" ht="38.25" customHeight="1" s="290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39" t="n">
        <v>0</v>
      </c>
      <c r="D31" s="218" t="n"/>
      <c r="E31" s="220">
        <f>C31/$C$40</f>
        <v/>
      </c>
    </row>
    <row r="32" ht="25.5" customHeight="1" s="290">
      <c r="B32" s="218" t="inlineStr">
        <is>
          <t>Затраты по перевозке работников к месту работы и обратно</t>
        </is>
      </c>
      <c r="C32" s="222">
        <f>ROUND(C27*0%,2)</f>
        <v/>
      </c>
      <c r="D32" s="218" t="n"/>
      <c r="E32" s="220">
        <f>C32/$C$40</f>
        <v/>
      </c>
    </row>
    <row r="33" ht="25.5" customHeight="1" s="290">
      <c r="B33" s="218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18" t="n"/>
      <c r="E33" s="220">
        <f>C33/$C$40</f>
        <v/>
      </c>
    </row>
    <row r="34" ht="51" customHeight="1" s="290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18" t="n"/>
      <c r="E34" s="220">
        <f>C34/$C$40</f>
        <v/>
      </c>
      <c r="H34" s="232" t="n"/>
    </row>
    <row r="35" ht="76.5" customHeight="1" s="290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18" t="n"/>
      <c r="E35" s="220">
        <f>C35/$C$40</f>
        <v/>
      </c>
    </row>
    <row r="36" ht="25.5" customHeight="1" s="290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20">
        <f>C36/$C$40</f>
        <v/>
      </c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20">
        <f>C37/$C$40</f>
        <v/>
      </c>
      <c r="L37" s="221" t="n"/>
    </row>
    <row r="38" ht="38.25" customHeight="1" s="290">
      <c r="B38" s="218" t="inlineStr">
        <is>
          <t>ИТОГО (СМР+ОБОРУДОВАНИЕ+ПРОЧ. ЗАТР., УЧТЕННЫЕ ПОКАЗАТЕЛЕМ)</t>
        </is>
      </c>
      <c r="C38" s="219">
        <f>C27+C32+C33+C34+C35+C29+C31+C30+C36+C37</f>
        <v/>
      </c>
      <c r="D38" s="218" t="n"/>
      <c r="E38" s="220">
        <f>C38/$C$40</f>
        <v/>
      </c>
    </row>
    <row r="39" ht="13.5" customHeight="1" s="290">
      <c r="B39" s="218" t="inlineStr">
        <is>
          <t>Непредвиденные расходы</t>
        </is>
      </c>
      <c r="C39" s="219">
        <f>ROUND(C38*3%,2)</f>
        <v/>
      </c>
      <c r="D39" s="218" t="n"/>
      <c r="E39" s="220">
        <f>C39/$C$38</f>
        <v/>
      </c>
    </row>
    <row r="40">
      <c r="B40" s="218" t="inlineStr">
        <is>
          <t>ВСЕГО:</t>
        </is>
      </c>
      <c r="C40" s="219">
        <f>C39+C38</f>
        <v/>
      </c>
      <c r="D40" s="218" t="n"/>
      <c r="E40" s="220">
        <f>C40/$C$40</f>
        <v/>
      </c>
    </row>
    <row r="41">
      <c r="B41" s="218" t="inlineStr">
        <is>
          <t>ИТОГО ПОКАЗАТЕЛЬ НА ЕД. ИЗМ.</t>
        </is>
      </c>
      <c r="C41" s="219">
        <f>C40/'Прил.5 Расчет СМР и ОБ'!E48</f>
        <v/>
      </c>
      <c r="D41" s="218" t="n"/>
      <c r="E41" s="218" t="n"/>
    </row>
    <row r="42">
      <c r="B42" s="217" t="n"/>
      <c r="C42" s="269" t="n"/>
      <c r="D42" s="269" t="n"/>
      <c r="E42" s="269" t="n"/>
    </row>
    <row r="43">
      <c r="B43" s="217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17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17" t="n"/>
      <c r="C45" s="269" t="n"/>
      <c r="D45" s="269" t="n"/>
      <c r="E45" s="269" t="n"/>
    </row>
    <row r="46">
      <c r="B46" s="217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5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V31" sqref="V31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0" min="13" max="13"/>
  </cols>
  <sheetData>
    <row r="1" s="290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0">
      <c r="A2" s="270" t="n"/>
      <c r="B2" s="270" t="n"/>
      <c r="C2" s="270" t="n"/>
      <c r="D2" s="270" t="n"/>
      <c r="E2" s="270" t="n"/>
      <c r="F2" s="270" t="n"/>
      <c r="G2" s="270" t="n"/>
      <c r="H2" s="361" t="inlineStr">
        <is>
          <t>Приложение №5</t>
        </is>
      </c>
      <c r="K2" s="270" t="n"/>
      <c r="L2" s="270" t="n"/>
      <c r="M2" s="270" t="n"/>
      <c r="N2" s="270" t="n"/>
    </row>
    <row r="3" s="290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2" t="inlineStr">
        <is>
          <t>Расчет стоимости СМР и оборудования</t>
        </is>
      </c>
    </row>
    <row r="5" ht="12.75" customFormat="1" customHeight="1" s="269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9">
      <c r="A6" s="198" t="inlineStr">
        <is>
          <t>Наименование разрабатываемого показателя УНЦ</t>
        </is>
      </c>
      <c r="B6" s="197" t="n"/>
      <c r="C6" s="197" t="n"/>
      <c r="D6" s="315" t="inlineStr">
        <is>
          <t>КЛ 10 кВ (с медной жилой) сечение жилы 300 мм2</t>
        </is>
      </c>
    </row>
    <row r="7" ht="12.75" customFormat="1" customHeight="1" s="269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9">
      <c r="A8" s="315" t="n"/>
    </row>
    <row r="9" ht="27" customHeight="1" s="290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18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18" t="n"/>
      <c r="K9" s="270" t="n"/>
      <c r="L9" s="270" t="n"/>
      <c r="M9" s="270" t="n"/>
      <c r="N9" s="270" t="n"/>
    </row>
    <row r="10" ht="28.5" customHeight="1" s="290">
      <c r="A10" s="420" t="n"/>
      <c r="B10" s="420" t="n"/>
      <c r="C10" s="420" t="n"/>
      <c r="D10" s="420" t="n"/>
      <c r="E10" s="420" t="n"/>
      <c r="F10" s="353" t="inlineStr">
        <is>
          <t>на ед. изм.</t>
        </is>
      </c>
      <c r="G10" s="353" t="inlineStr">
        <is>
          <t>общая</t>
        </is>
      </c>
      <c r="H10" s="420" t="n"/>
      <c r="I10" s="353" t="inlineStr">
        <is>
          <t>на ед. изм.</t>
        </is>
      </c>
      <c r="J10" s="353" t="inlineStr">
        <is>
          <t>общая</t>
        </is>
      </c>
      <c r="K10" s="270" t="n"/>
      <c r="L10" s="270" t="n"/>
      <c r="M10" s="270" t="n"/>
      <c r="N10" s="270" t="n"/>
    </row>
    <row r="11" s="290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47" t="n">
        <v>9</v>
      </c>
      <c r="J11" s="347" t="n">
        <v>10</v>
      </c>
      <c r="K11" s="270" t="n"/>
      <c r="L11" s="270" t="n"/>
      <c r="M11" s="270" t="n"/>
      <c r="N11" s="270" t="n"/>
    </row>
    <row r="12">
      <c r="A12" s="353" t="n"/>
      <c r="B12" s="351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80" t="n"/>
      <c r="J12" s="280" t="n"/>
    </row>
    <row r="13" ht="25.5" customHeight="1" s="290">
      <c r="A13" s="353" t="n">
        <v>1</v>
      </c>
      <c r="B13" s="238" t="inlineStr">
        <is>
          <t>1-3-8</t>
        </is>
      </c>
      <c r="C13" s="352" t="inlineStr">
        <is>
          <t>Затраты труда рабочих-строителей среднего разряда (3,8)</t>
        </is>
      </c>
      <c r="D13" s="353" t="inlineStr">
        <is>
          <t>чел.-ч.</t>
        </is>
      </c>
      <c r="E13" s="428">
        <f>G13/F13</f>
        <v/>
      </c>
      <c r="F13" s="247" t="n">
        <v>9.4</v>
      </c>
      <c r="G13" s="247">
        <f>Прил.3!H12</f>
        <v/>
      </c>
      <c r="H13" s="196">
        <f>G13/G14</f>
        <v/>
      </c>
      <c r="I13" s="247">
        <f>ФОТр.тек.!E13</f>
        <v/>
      </c>
      <c r="J13" s="247">
        <f>ROUND(I13*E13,2)</f>
        <v/>
      </c>
    </row>
    <row r="14" ht="25.5" customFormat="1" customHeight="1" s="270">
      <c r="A14" s="353" t="n"/>
      <c r="B14" s="353" t="n"/>
      <c r="C14" s="351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429">
        <f>SUM(E13:E13)</f>
        <v/>
      </c>
      <c r="F14" s="247" t="n"/>
      <c r="G14" s="247">
        <f>SUM(G13:G13)</f>
        <v/>
      </c>
      <c r="H14" s="356" t="n">
        <v>1</v>
      </c>
      <c r="I14" s="280" t="n"/>
      <c r="J14" s="247">
        <f>SUM(J13:J13)</f>
        <v/>
      </c>
    </row>
    <row r="15" ht="14.25" customFormat="1" customHeight="1" s="270">
      <c r="A15" s="353" t="n"/>
      <c r="B15" s="352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80" t="n"/>
      <c r="J15" s="280" t="n"/>
    </row>
    <row r="16" ht="14.25" customFormat="1" customHeight="1" s="270">
      <c r="A16" s="353" t="n">
        <v>2</v>
      </c>
      <c r="B16" s="353" t="n">
        <v>2</v>
      </c>
      <c r="C16" s="352" t="inlineStr">
        <is>
          <t>Затраты труда машинистов</t>
        </is>
      </c>
      <c r="D16" s="353" t="inlineStr">
        <is>
          <t>чел.-ч.</t>
        </is>
      </c>
      <c r="E16" s="428" t="n">
        <v>66.40000000000001</v>
      </c>
      <c r="F16" s="247">
        <f>G16/E16</f>
        <v/>
      </c>
      <c r="G16" s="247">
        <f>Прил.3!H14</f>
        <v/>
      </c>
      <c r="H16" s="356" t="n">
        <v>1</v>
      </c>
      <c r="I16" s="247">
        <f>ROUND(F16*Прил.10!D11,2)</f>
        <v/>
      </c>
      <c r="J16" s="247">
        <f>ROUND(I16*E16,2)</f>
        <v/>
      </c>
    </row>
    <row r="17" ht="14.25" customFormat="1" customHeight="1" s="270">
      <c r="A17" s="353" t="n"/>
      <c r="B17" s="351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80" t="n"/>
      <c r="J17" s="280" t="n"/>
    </row>
    <row r="18" ht="14.25" customFormat="1" customHeight="1" s="270">
      <c r="A18" s="353" t="n"/>
      <c r="B18" s="352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80" t="n"/>
      <c r="J18" s="280" t="n"/>
    </row>
    <row r="19" ht="25.5" customFormat="1" customHeight="1" s="270">
      <c r="A19" s="353" t="n">
        <v>3</v>
      </c>
      <c r="B19" s="238" t="inlineStr">
        <is>
          <t>91.05.05-015</t>
        </is>
      </c>
      <c r="C19" s="352" t="inlineStr">
        <is>
          <t>Краны на автомобильном ходу, грузоподъемность 16 т</t>
        </is>
      </c>
      <c r="D19" s="353" t="inlineStr">
        <is>
          <t>маш.час</t>
        </is>
      </c>
      <c r="E19" s="428" t="n">
        <v>33.2</v>
      </c>
      <c r="F19" s="370" t="n">
        <v>115.4</v>
      </c>
      <c r="G19" s="247">
        <f>ROUND(E19*F19,2)</f>
        <v/>
      </c>
      <c r="H19" s="196">
        <f>G19/$G$25</f>
        <v/>
      </c>
      <c r="I19" s="247">
        <f>ROUND(F19*Прил.10!$D$12,2)</f>
        <v/>
      </c>
      <c r="J19" s="247">
        <f>ROUND(I19*E19,2)</f>
        <v/>
      </c>
    </row>
    <row r="20" ht="25.5" customFormat="1" customHeight="1" s="270">
      <c r="A20" s="353" t="n">
        <v>4</v>
      </c>
      <c r="B20" s="238" t="inlineStr">
        <is>
          <t>91.14.02-003</t>
        </is>
      </c>
      <c r="C20" s="352" t="inlineStr">
        <is>
          <t>Автомобили бортовые, грузоподъемность до 10 т</t>
        </is>
      </c>
      <c r="D20" s="353" t="inlineStr">
        <is>
          <t>маш.час</t>
        </is>
      </c>
      <c r="E20" s="428" t="n">
        <v>33.2</v>
      </c>
      <c r="F20" s="370" t="n">
        <v>80.44</v>
      </c>
      <c r="G20" s="247">
        <f>ROUND(E20*F20,2)</f>
        <v/>
      </c>
      <c r="H20" s="196">
        <f>G20/$G$25</f>
        <v/>
      </c>
      <c r="I20" s="247">
        <f>ROUND(F20*Прил.10!$D$12,2)</f>
        <v/>
      </c>
      <c r="J20" s="247">
        <f>ROUND(I20*E20,2)</f>
        <v/>
      </c>
    </row>
    <row r="21" ht="14.25" customFormat="1" customHeight="1" s="270">
      <c r="A21" s="353" t="n"/>
      <c r="B21" s="353" t="n"/>
      <c r="C21" s="352" t="inlineStr">
        <is>
          <t>Итого основные машины и механизмы</t>
        </is>
      </c>
      <c r="D21" s="353" t="n"/>
      <c r="E21" s="429" t="n"/>
      <c r="F21" s="247" t="n"/>
      <c r="G21" s="247">
        <f>SUM(G19:G20)</f>
        <v/>
      </c>
      <c r="H21" s="350">
        <f>G21/G25</f>
        <v/>
      </c>
      <c r="I21" s="240" t="n"/>
      <c r="J21" s="241">
        <f>SUM(J19:J20)</f>
        <v/>
      </c>
    </row>
    <row r="22" outlineLevel="1" ht="25.5" customFormat="1" customHeight="1" s="270">
      <c r="A22" s="353" t="n">
        <v>5</v>
      </c>
      <c r="B22" s="238" t="inlineStr">
        <is>
          <t>91.06.03-063</t>
        </is>
      </c>
      <c r="C22" s="352" t="inlineStr">
        <is>
          <t>Лебедки электрические тяговым усилием до 49,05 кН (5 т)</t>
        </is>
      </c>
      <c r="D22" s="353" t="inlineStr">
        <is>
          <t>маш.час</t>
        </is>
      </c>
      <c r="E22" s="428" t="n">
        <v>49.8</v>
      </c>
      <c r="F22" s="370" t="n">
        <v>8.199999999999999</v>
      </c>
      <c r="G22" s="193">
        <f>ROUND(E22*F22,2)</f>
        <v/>
      </c>
      <c r="H22" s="196">
        <f>G22/$G$25</f>
        <v/>
      </c>
      <c r="I22" s="247">
        <f>ROUND(F22*Прил.10!$D$12,2)</f>
        <v/>
      </c>
      <c r="J22" s="247">
        <f>ROUND(I22*E22,2)</f>
        <v/>
      </c>
    </row>
    <row r="23" outlineLevel="1" ht="25.5" customFormat="1" customHeight="1" s="270">
      <c r="A23" s="353" t="n">
        <v>6</v>
      </c>
      <c r="B23" s="238" t="inlineStr">
        <is>
          <t>91.06.01-003</t>
        </is>
      </c>
      <c r="C23" s="352" t="inlineStr">
        <is>
          <t>Домкраты гидравлические, грузоподъемность 63-100 т</t>
        </is>
      </c>
      <c r="D23" s="353" t="inlineStr">
        <is>
          <t>маш.час</t>
        </is>
      </c>
      <c r="E23" s="428" t="n">
        <v>49.8</v>
      </c>
      <c r="F23" s="370" t="n">
        <v>0.9</v>
      </c>
      <c r="G23" s="193">
        <f>ROUND(E23*F23,2)</f>
        <v/>
      </c>
      <c r="H23" s="196">
        <f>G23/$G$25</f>
        <v/>
      </c>
      <c r="I23" s="247">
        <f>ROUND(F23*Прил.10!$D$12,2)</f>
        <v/>
      </c>
      <c r="J23" s="247">
        <f>ROUND(I23*E23,2)</f>
        <v/>
      </c>
    </row>
    <row r="24" ht="14.25" customFormat="1" customHeight="1" s="270">
      <c r="A24" s="353" t="n"/>
      <c r="B24" s="353" t="n"/>
      <c r="C24" s="352" t="inlineStr">
        <is>
          <t>Итого прочие машины и механизмы</t>
        </is>
      </c>
      <c r="D24" s="353" t="n"/>
      <c r="E24" s="354" t="n"/>
      <c r="F24" s="247" t="n"/>
      <c r="G24" s="193">
        <f>G22+G23</f>
        <v/>
      </c>
      <c r="H24" s="196">
        <f>G24/G25</f>
        <v/>
      </c>
      <c r="I24" s="247" t="n"/>
      <c r="J24" s="247">
        <f>J22+J23</f>
        <v/>
      </c>
    </row>
    <row r="25" ht="25.5" customFormat="1" customHeight="1" s="270">
      <c r="A25" s="353" t="n"/>
      <c r="B25" s="353" t="n"/>
      <c r="C25" s="351" t="inlineStr">
        <is>
          <t>Итого по разделу «Машины и механизмы»</t>
        </is>
      </c>
      <c r="D25" s="353" t="n"/>
      <c r="E25" s="354" t="n"/>
      <c r="F25" s="247" t="n"/>
      <c r="G25" s="247">
        <f>G24+G21</f>
        <v/>
      </c>
      <c r="H25" s="189" t="n">
        <v>1</v>
      </c>
      <c r="I25" s="190" t="n"/>
      <c r="J25" s="245">
        <f>J24+J21</f>
        <v/>
      </c>
    </row>
    <row r="26" ht="14.25" customFormat="1" customHeight="1" s="270">
      <c r="A26" s="353" t="n"/>
      <c r="B26" s="351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80" t="n"/>
      <c r="J26" s="280" t="n"/>
    </row>
    <row r="27">
      <c r="A27" s="353" t="n"/>
      <c r="B27" s="352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80" t="n"/>
      <c r="J27" s="280" t="n"/>
      <c r="K27" s="270" t="n"/>
      <c r="L27" s="270" t="n"/>
    </row>
    <row r="28">
      <c r="A28" s="353" t="n"/>
      <c r="B28" s="353" t="n"/>
      <c r="C28" s="352" t="inlineStr">
        <is>
          <t>Итого основное оборудование</t>
        </is>
      </c>
      <c r="D28" s="353" t="n"/>
      <c r="E28" s="428" t="n"/>
      <c r="F28" s="355" t="n"/>
      <c r="G28" s="247" t="n">
        <v>0</v>
      </c>
      <c r="H28" s="196" t="n">
        <v>0</v>
      </c>
      <c r="I28" s="193" t="n"/>
      <c r="J28" s="247" t="n">
        <v>0</v>
      </c>
      <c r="K28" s="270" t="n"/>
      <c r="L28" s="270" t="n"/>
    </row>
    <row r="29">
      <c r="A29" s="353" t="n"/>
      <c r="B29" s="353" t="n"/>
      <c r="C29" s="352" t="inlineStr">
        <is>
          <t>Итого прочее оборудование</t>
        </is>
      </c>
      <c r="D29" s="353" t="n"/>
      <c r="E29" s="429" t="n"/>
      <c r="F29" s="355" t="n"/>
      <c r="G29" s="247" t="n">
        <v>0</v>
      </c>
      <c r="H29" s="196" t="n">
        <v>0</v>
      </c>
      <c r="I29" s="193" t="n"/>
      <c r="J29" s="247" t="n">
        <v>0</v>
      </c>
      <c r="K29" s="270" t="n"/>
      <c r="L29" s="270" t="n"/>
    </row>
    <row r="30">
      <c r="A30" s="353" t="n"/>
      <c r="B30" s="353" t="n"/>
      <c r="C30" s="351" t="inlineStr">
        <is>
          <t>Итого по разделу «Оборудование»</t>
        </is>
      </c>
      <c r="D30" s="353" t="n"/>
      <c r="E30" s="354" t="n"/>
      <c r="F30" s="355" t="n"/>
      <c r="G30" s="247">
        <f>G28+G29</f>
        <v/>
      </c>
      <c r="H30" s="196" t="n">
        <v>0</v>
      </c>
      <c r="I30" s="193" t="n"/>
      <c r="J30" s="247" t="n">
        <v>0</v>
      </c>
      <c r="K30" s="270" t="n"/>
      <c r="L30" s="270" t="n"/>
    </row>
    <row r="31" ht="25.5" customHeight="1" s="290">
      <c r="A31" s="353" t="n"/>
      <c r="B31" s="353" t="n"/>
      <c r="C31" s="352" t="inlineStr">
        <is>
          <t>в том числе технологическое оборудование</t>
        </is>
      </c>
      <c r="D31" s="353" t="n"/>
      <c r="E31" s="428" t="n"/>
      <c r="F31" s="355" t="n"/>
      <c r="G31" s="247">
        <f>'Прил.6 Расчет ОБ'!G12</f>
        <v/>
      </c>
      <c r="H31" s="356" t="n"/>
      <c r="I31" s="193" t="n"/>
      <c r="J31" s="247">
        <f>J30</f>
        <v/>
      </c>
      <c r="K31" s="270" t="n"/>
      <c r="L31" s="270" t="n"/>
    </row>
    <row r="32" ht="14.25" customFormat="1" customHeight="1" s="270">
      <c r="A32" s="353" t="n"/>
      <c r="B32" s="351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80" t="n"/>
      <c r="J32" s="280" t="n"/>
    </row>
    <row r="33" ht="14.25" customFormat="1" customHeight="1" s="270">
      <c r="A33" s="347" t="n"/>
      <c r="B33" s="346" t="inlineStr">
        <is>
          <t>Основные материалы</t>
        </is>
      </c>
      <c r="C33" s="430" t="n"/>
      <c r="D33" s="430" t="n"/>
      <c r="E33" s="430" t="n"/>
      <c r="F33" s="430" t="n"/>
      <c r="G33" s="430" t="n"/>
      <c r="H33" s="431" t="n"/>
      <c r="I33" s="281" t="n"/>
      <c r="J33" s="281" t="n"/>
    </row>
    <row r="34" ht="14.25" customFormat="1" customHeight="1" s="270">
      <c r="A34" s="353" t="n">
        <v>7</v>
      </c>
      <c r="B34" s="353" t="inlineStr">
        <is>
          <t>БЦ.83.157</t>
        </is>
      </c>
      <c r="C34" s="352" t="inlineStr">
        <is>
          <t>Кабель медный 10кВ 3х300 мм2</t>
        </is>
      </c>
      <c r="D34" s="353" t="inlineStr">
        <is>
          <t>км</t>
        </is>
      </c>
      <c r="E34" s="428" t="n">
        <v>3.3</v>
      </c>
      <c r="F34" s="355">
        <f>ROUND(I34/Прил.10!$D$13,2)</f>
        <v/>
      </c>
      <c r="G34" s="247">
        <f>ROUND(E34*F34,2)</f>
        <v/>
      </c>
      <c r="H34" s="196">
        <f>G34/$G$42</f>
        <v/>
      </c>
      <c r="I34" s="247" t="n">
        <v>3243799.01</v>
      </c>
      <c r="J34" s="247">
        <f>ROUND(G34*Прил.10!$D$13,2)</f>
        <v/>
      </c>
    </row>
    <row r="35" ht="14.25" customFormat="1" customHeight="1" s="270">
      <c r="A35" s="246" t="n"/>
      <c r="B35" s="200" t="n"/>
      <c r="C35" s="242" t="inlineStr">
        <is>
          <t>Итого основные материалы</t>
        </is>
      </c>
      <c r="D35" s="364" t="n"/>
      <c r="E35" s="432" t="n"/>
      <c r="F35" s="245" t="n"/>
      <c r="G35" s="245">
        <f>SUM(G34:G34)</f>
        <v/>
      </c>
      <c r="H35" s="244">
        <f>G35/$G$42</f>
        <v/>
      </c>
      <c r="I35" s="245" t="n"/>
      <c r="J35" s="245">
        <f>SUM(J34:J34)</f>
        <v/>
      </c>
    </row>
    <row r="36" outlineLevel="1" ht="25.5" customFormat="1" customHeight="1" s="270">
      <c r="A36" s="353" t="n">
        <v>8</v>
      </c>
      <c r="B36" s="200" t="inlineStr">
        <is>
          <t>08.3.08.02-0052</t>
        </is>
      </c>
      <c r="C36" s="242" t="inlineStr">
        <is>
          <t>Уголок горячекатаный, марка стали ВСт3кп2, размер 50х50х5 мм</t>
        </is>
      </c>
      <c r="D36" s="364" t="inlineStr">
        <is>
          <t>т</t>
        </is>
      </c>
      <c r="E36" s="432" t="n">
        <v>0.1</v>
      </c>
      <c r="F36" s="245" t="n">
        <v>5763</v>
      </c>
      <c r="G36" s="247">
        <f>ROUND(E36*F36,2)</f>
        <v/>
      </c>
      <c r="H36" s="196">
        <f>G36/$G$42</f>
        <v/>
      </c>
      <c r="I36" s="247">
        <f>ROUND(F36*Прил.10!$D$13,2)</f>
        <v/>
      </c>
      <c r="J36" s="247">
        <f>ROUND(I36*E36,2)</f>
        <v/>
      </c>
    </row>
    <row r="37" outlineLevel="1" ht="14.25" customFormat="1" customHeight="1" s="270">
      <c r="A37" s="353" t="n">
        <v>9</v>
      </c>
      <c r="B37" s="238" t="inlineStr">
        <is>
          <t>14.4.02.09-0001</t>
        </is>
      </c>
      <c r="C37" s="352" t="inlineStr">
        <is>
          <t>Краска</t>
        </is>
      </c>
      <c r="D37" s="353" t="inlineStr">
        <is>
          <t>кг</t>
        </is>
      </c>
      <c r="E37" s="428" t="n">
        <v>2.5</v>
      </c>
      <c r="F37" s="247" t="n">
        <v>28.6</v>
      </c>
      <c r="G37" s="247">
        <f>ROUND(E37*F37,2)</f>
        <v/>
      </c>
      <c r="H37" s="196">
        <f>G37/$G$42</f>
        <v/>
      </c>
      <c r="I37" s="247">
        <f>ROUND(F37*Прил.10!$D$13,2)</f>
        <v/>
      </c>
      <c r="J37" s="247">
        <f>ROUND(I37*E37,2)</f>
        <v/>
      </c>
    </row>
    <row r="38" outlineLevel="1" ht="38.25" customFormat="1" customHeight="1" s="270">
      <c r="A38" s="353" t="n">
        <v>10</v>
      </c>
      <c r="B38" s="238" t="inlineStr">
        <is>
          <t>08.3.07.01-0076</t>
        </is>
      </c>
      <c r="C38" s="352" t="inlineStr">
        <is>
          <t>Прокат полосовой, горячекатаный, марка стали Ст3сп, ширина 50-200 мм, толщина 4-5 мм</t>
        </is>
      </c>
      <c r="D38" s="353" t="inlineStr">
        <is>
          <t>т</t>
        </is>
      </c>
      <c r="E38" s="428" t="n">
        <v>0.01</v>
      </c>
      <c r="F38" s="247" t="n">
        <v>5000</v>
      </c>
      <c r="G38" s="247">
        <f>ROUND(E38*F38,2)</f>
        <v/>
      </c>
      <c r="H38" s="196">
        <f>G38/$G$42</f>
        <v/>
      </c>
      <c r="I38" s="247">
        <f>ROUND(F38*Прил.10!$D$13,2)</f>
        <v/>
      </c>
      <c r="J38" s="247">
        <f>ROUND(I38*E38,2)</f>
        <v/>
      </c>
    </row>
    <row r="39" outlineLevel="1" ht="14.25" customFormat="1" customHeight="1" s="270">
      <c r="A39" s="353" t="n">
        <v>11</v>
      </c>
      <c r="B39" s="238" t="inlineStr">
        <is>
          <t>01.7.06.07-0002</t>
        </is>
      </c>
      <c r="C39" s="352" t="inlineStr">
        <is>
          <t>Лента монтажная, тип ЛМ-5</t>
        </is>
      </c>
      <c r="D39" s="353" t="inlineStr">
        <is>
          <t>10 м</t>
        </is>
      </c>
      <c r="E39" s="428" t="n">
        <v>0.96</v>
      </c>
      <c r="F39" s="247" t="n">
        <v>6.9</v>
      </c>
      <c r="G39" s="247">
        <f>ROUND(E39*F39,2)</f>
        <v/>
      </c>
      <c r="H39" s="196">
        <f>G39/$G$42</f>
        <v/>
      </c>
      <c r="I39" s="247">
        <f>ROUND(F39*Прил.10!$D$13,2)</f>
        <v/>
      </c>
      <c r="J39" s="247">
        <f>ROUND(I39*E39,2)</f>
        <v/>
      </c>
    </row>
    <row r="40" outlineLevel="1" ht="14.25" customFormat="1" customHeight="1" s="270">
      <c r="A40" s="353" t="n">
        <v>12</v>
      </c>
      <c r="B40" s="238" t="inlineStr">
        <is>
          <t>14.4.03.03-0002</t>
        </is>
      </c>
      <c r="C40" s="352" t="inlineStr">
        <is>
          <t>Лак битумный БТ-123</t>
        </is>
      </c>
      <c r="D40" s="353" t="inlineStr">
        <is>
          <t>т</t>
        </is>
      </c>
      <c r="E40" s="428" t="n">
        <v>0.0005999999999999999</v>
      </c>
      <c r="F40" s="247" t="n">
        <v>7826.9</v>
      </c>
      <c r="G40" s="247">
        <f>ROUND(E40*F40,2)</f>
        <v/>
      </c>
      <c r="H40" s="196">
        <f>G40/$G$42</f>
        <v/>
      </c>
      <c r="I40" s="247">
        <f>ROUND(F40*Прил.10!$D$13,2)</f>
        <v/>
      </c>
      <c r="J40" s="247">
        <f>ROUND(I40*E40,2)</f>
        <v/>
      </c>
    </row>
    <row r="41" ht="14.25" customFormat="1" customHeight="1" s="270">
      <c r="A41" s="364" t="n"/>
      <c r="B41" s="364" t="n"/>
      <c r="C41" s="242" t="inlineStr">
        <is>
          <t>Итого прочие материалы</t>
        </is>
      </c>
      <c r="D41" s="364" t="n"/>
      <c r="E41" s="432" t="n"/>
      <c r="F41" s="243" t="n"/>
      <c r="G41" s="245">
        <f>SUM(G36:G40)</f>
        <v/>
      </c>
      <c r="H41" s="244">
        <f>G41/$G$42</f>
        <v/>
      </c>
      <c r="I41" s="247" t="n"/>
      <c r="J41" s="247">
        <f>SUM(J36:J40)</f>
        <v/>
      </c>
    </row>
    <row r="42" ht="14.25" customFormat="1" customHeight="1" s="270">
      <c r="A42" s="353" t="n"/>
      <c r="B42" s="353" t="n"/>
      <c r="C42" s="351" t="inlineStr">
        <is>
          <t>Итого по разделу «Материалы»</t>
        </is>
      </c>
      <c r="D42" s="353" t="n"/>
      <c r="E42" s="354" t="n"/>
      <c r="F42" s="355" t="n"/>
      <c r="G42" s="247">
        <f>G35+G41</f>
        <v/>
      </c>
      <c r="H42" s="356">
        <f>G42/$G$42</f>
        <v/>
      </c>
      <c r="I42" s="247" t="n"/>
      <c r="J42" s="247">
        <f>J35+J41</f>
        <v/>
      </c>
    </row>
    <row r="43" ht="14.25" customFormat="1" customHeight="1" s="270">
      <c r="A43" s="353" t="n"/>
      <c r="B43" s="353" t="n"/>
      <c r="C43" s="352" t="inlineStr">
        <is>
          <t>ИТОГО ПО РМ</t>
        </is>
      </c>
      <c r="D43" s="353" t="n"/>
      <c r="E43" s="354" t="n"/>
      <c r="F43" s="355" t="n"/>
      <c r="G43" s="247">
        <f>G14+G25+G42</f>
        <v/>
      </c>
      <c r="H43" s="356" t="n"/>
      <c r="I43" s="247" t="n"/>
      <c r="J43" s="247">
        <f>J14+J25+J42</f>
        <v/>
      </c>
    </row>
    <row r="44" ht="14.25" customFormat="1" customHeight="1" s="270">
      <c r="A44" s="353" t="n"/>
      <c r="B44" s="353" t="n"/>
      <c r="C44" s="352" t="inlineStr">
        <is>
          <t>Накладные расходы</t>
        </is>
      </c>
      <c r="D44" s="194">
        <f>ROUND(G44/(G$16+$G$14),2)</f>
        <v/>
      </c>
      <c r="E44" s="354" t="n"/>
      <c r="F44" s="355" t="n"/>
      <c r="G44" s="247" t="n">
        <v>2977.61</v>
      </c>
      <c r="H44" s="356" t="n"/>
      <c r="I44" s="247" t="n"/>
      <c r="J44" s="247">
        <f>ROUND(D44*(J14+J16),2)</f>
        <v/>
      </c>
    </row>
    <row r="45" ht="14.25" customFormat="1" customHeight="1" s="270">
      <c r="A45" s="353" t="n"/>
      <c r="B45" s="353" t="n"/>
      <c r="C45" s="352" t="inlineStr">
        <is>
          <t>Сметная прибыль</t>
        </is>
      </c>
      <c r="D45" s="194">
        <f>ROUND(G45/(G$14+G$16),2)</f>
        <v/>
      </c>
      <c r="E45" s="354" t="n"/>
      <c r="F45" s="355" t="n"/>
      <c r="G45" s="247" t="n">
        <v>1565.55</v>
      </c>
      <c r="H45" s="356" t="n"/>
      <c r="I45" s="247" t="n"/>
      <c r="J45" s="247">
        <f>ROUND(D45*(J14+J16),2)</f>
        <v/>
      </c>
    </row>
    <row r="46" ht="14.25" customFormat="1" customHeight="1" s="270">
      <c r="A46" s="353" t="n"/>
      <c r="B46" s="353" t="n"/>
      <c r="C46" s="352" t="inlineStr">
        <is>
          <t>Итого СМР (с НР и СП)</t>
        </is>
      </c>
      <c r="D46" s="353" t="n"/>
      <c r="E46" s="354" t="n"/>
      <c r="F46" s="355" t="n"/>
      <c r="G46" s="247">
        <f>G14+G25+G42+G44+G45</f>
        <v/>
      </c>
      <c r="H46" s="356" t="n"/>
      <c r="I46" s="247" t="n"/>
      <c r="J46" s="247">
        <f>J14+J25+J42+J44+J45</f>
        <v/>
      </c>
    </row>
    <row r="47" ht="14.25" customFormat="1" customHeight="1" s="270">
      <c r="A47" s="353" t="n"/>
      <c r="B47" s="353" t="n"/>
      <c r="C47" s="352" t="inlineStr">
        <is>
          <t>ВСЕГО СМР + ОБОРУДОВАНИЕ</t>
        </is>
      </c>
      <c r="D47" s="353" t="n"/>
      <c r="E47" s="354" t="n"/>
      <c r="F47" s="355" t="n"/>
      <c r="G47" s="247">
        <f>G46+G30</f>
        <v/>
      </c>
      <c r="H47" s="356" t="n"/>
      <c r="I47" s="247" t="n"/>
      <c r="J47" s="247">
        <f>J46+J30</f>
        <v/>
      </c>
    </row>
    <row r="48" ht="34.5" customFormat="1" customHeight="1" s="270">
      <c r="A48" s="353" t="n"/>
      <c r="B48" s="353" t="n"/>
      <c r="C48" s="352" t="inlineStr">
        <is>
          <t>ИТОГО ПОКАЗАТЕЛЬ НА ЕД. ИЗМ.</t>
        </is>
      </c>
      <c r="D48" s="353" t="inlineStr">
        <is>
          <t>1 км</t>
        </is>
      </c>
      <c r="E48" s="354" t="n">
        <v>1</v>
      </c>
      <c r="F48" s="355" t="n"/>
      <c r="G48" s="247">
        <f>G47/E48</f>
        <v/>
      </c>
      <c r="H48" s="356" t="n"/>
      <c r="I48" s="247" t="n"/>
      <c r="J48" s="247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19" sqref="D19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10 кВ (с медной жилой) сечение жилы 300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0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0">
      <c r="A9" s="218" t="n"/>
      <c r="B9" s="352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53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247" t="n">
        <v>0</v>
      </c>
    </row>
    <row r="13" ht="19.5" customHeight="1" s="290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247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32" sqref="G32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51.42578125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4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15" customHeight="1" s="290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290">
      <c r="A11" s="339" t="inlineStr">
        <is>
          <t>К2-09-2</t>
        </is>
      </c>
      <c r="B11" s="339" t="inlineStr">
        <is>
          <t xml:space="preserve">УНЦ КЛ 6 - 500 кВ (с медной жилой) </t>
        </is>
      </c>
      <c r="C11" s="288">
        <f>D5</f>
        <v/>
      </c>
      <c r="D11" s="298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0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6" sqref="C26:D26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570312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290">
      <c r="B10" s="339" t="n">
        <v>1</v>
      </c>
      <c r="C10" s="339" t="n">
        <v>2</v>
      </c>
      <c r="D10" s="339" t="n">
        <v>3</v>
      </c>
    </row>
    <row r="11" ht="31.5" customHeight="1" s="290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290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10.84</v>
      </c>
    </row>
    <row r="13" ht="31.5" customHeight="1" s="290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5.34</v>
      </c>
    </row>
    <row r="14" ht="31.5" customHeight="1" s="290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290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0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39" t="inlineStr">
        <is>
          <t>Пусконаладочные работы*</t>
        </is>
      </c>
      <c r="C17" s="339" t="n"/>
      <c r="D17" s="339" t="inlineStr">
        <is>
          <t>Расчет</t>
        </is>
      </c>
    </row>
    <row r="18" ht="31.5" customHeight="1" s="290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75" t="n">
        <v>0.002</v>
      </c>
    </row>
    <row r="20" ht="24" customHeight="1" s="290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75" t="n">
        <v>0.03</v>
      </c>
    </row>
    <row r="21" ht="18.75" customHeight="1" s="290">
      <c r="B21" s="231" t="n"/>
    </row>
    <row r="22" ht="18.75" customHeight="1" s="290">
      <c r="B22" s="231" t="n"/>
    </row>
    <row r="23" ht="18.75" customHeight="1" s="290">
      <c r="B23" s="231" t="n"/>
    </row>
    <row r="24" ht="18.75" customHeight="1" s="290">
      <c r="B24" s="231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15" sqref="Q15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9" t="n"/>
      <c r="D10" s="339" t="n"/>
      <c r="E10" s="433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4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5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2025-01-24T12:05:42Z</dcterms:modified>
  <cp:lastModifiedBy>REDMIBOOK</cp:lastModifiedBy>
  <cp:lastPrinted>2023-11-30T04:07:08Z</cp:lastPrinted>
</cp:coreProperties>
</file>