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/>
    </xf>
    <xf numFmtId="1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7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 ht="84" customHeight="1">
      <c r="B5" s="2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9" t="n"/>
      <c r="C6" s="159" t="n"/>
      <c r="D6" s="159" t="n"/>
    </row>
    <row r="7">
      <c r="B7" s="220" t="inlineStr">
        <is>
          <t>Наименование разрабатываемого показателя УНЦ - Муфта концевая 6 кВ сечением 400 мм2.</t>
        </is>
      </c>
    </row>
    <row r="8">
      <c r="B8" s="220" t="inlineStr">
        <is>
          <t>Сопоставимый уровень цен: 2 квартал 2018 года</t>
        </is>
      </c>
    </row>
    <row r="9" ht="15.75" customHeight="1">
      <c r="B9" s="220" t="inlineStr">
        <is>
          <t>Единица измерения  — 1 ед</t>
        </is>
      </c>
    </row>
    <row r="10">
      <c r="B10" s="220" t="n"/>
    </row>
    <row r="11">
      <c r="B11" s="224" t="inlineStr">
        <is>
          <t>№ п/п</t>
        </is>
      </c>
      <c r="C11" s="224" t="inlineStr">
        <is>
          <t>Параметр</t>
        </is>
      </c>
      <c r="D11" s="224" t="inlineStr">
        <is>
          <t xml:space="preserve">Объект-представитель </t>
        </is>
      </c>
      <c r="E11" s="147" t="n"/>
    </row>
    <row r="12" ht="96.75" customHeight="1">
      <c r="B12" s="224" t="n">
        <v>1</v>
      </c>
      <c r="C12" s="230" t="inlineStr">
        <is>
          <t>Наименование объекта-представителя</t>
        </is>
      </c>
      <c r="D12" s="224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24" t="n">
        <v>2</v>
      </c>
      <c r="C13" s="230" t="inlineStr">
        <is>
          <t>Наименование субъекта Российской Федерации</t>
        </is>
      </c>
      <c r="D13" s="224" t="inlineStr">
        <is>
          <t>Челябинская область</t>
        </is>
      </c>
    </row>
    <row r="14">
      <c r="B14" s="224" t="n">
        <v>3</v>
      </c>
      <c r="C14" s="230" t="inlineStr">
        <is>
          <t>Климатический район и подрайон</t>
        </is>
      </c>
      <c r="D14" s="224" t="inlineStr">
        <is>
          <t>IВ</t>
        </is>
      </c>
    </row>
    <row r="15">
      <c r="B15" s="224" t="n">
        <v>4</v>
      </c>
      <c r="C15" s="230" t="inlineStr">
        <is>
          <t>Мощность объекта</t>
        </is>
      </c>
      <c r="D15" s="224" t="n">
        <v>1</v>
      </c>
    </row>
    <row r="16" ht="63" customHeight="1">
      <c r="B16" s="22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4" t="inlineStr">
        <is>
          <t>Муфта концевая 6 кВ сечением 400 мм2</t>
        </is>
      </c>
    </row>
    <row r="17" ht="63" customHeight="1">
      <c r="B17" s="22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58" t="n"/>
    </row>
    <row r="18">
      <c r="B18" s="146" t="inlineStr">
        <is>
          <t>6.1</t>
        </is>
      </c>
      <c r="C18" s="230" t="inlineStr">
        <is>
          <t>строительно-монтажные работы</t>
        </is>
      </c>
      <c r="D18" s="173" t="n">
        <v>39.01</v>
      </c>
    </row>
    <row r="19" ht="15.75" customHeight="1">
      <c r="B19" s="146" t="inlineStr">
        <is>
          <t>6.2</t>
        </is>
      </c>
      <c r="C19" s="230" t="inlineStr">
        <is>
          <t>оборудование и инвентарь</t>
        </is>
      </c>
      <c r="D19" s="173" t="n"/>
    </row>
    <row r="20" ht="16.5" customHeight="1">
      <c r="B20" s="146" t="inlineStr">
        <is>
          <t>6.3</t>
        </is>
      </c>
      <c r="C20" s="230" t="inlineStr">
        <is>
          <t>пусконаладочные работы</t>
        </is>
      </c>
      <c r="D20" s="173" t="n"/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73">
        <f>D18*2.5%+(D18+D18*2.5%)*2.9%</f>
        <v/>
      </c>
    </row>
    <row r="22">
      <c r="B22" s="224" t="n">
        <v>7</v>
      </c>
      <c r="C22" s="145" t="inlineStr">
        <is>
          <t>Сопоставимый уровень цен</t>
        </is>
      </c>
      <c r="D22" s="180" t="inlineStr">
        <is>
          <t>2 квартал 2018 года</t>
        </is>
      </c>
      <c r="E22" s="143" t="n"/>
    </row>
    <row r="23" ht="78.75" customHeight="1">
      <c r="B23" s="224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58" t="n"/>
    </row>
    <row r="24" ht="31.5" customHeight="1">
      <c r="B24" s="22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143" t="n"/>
    </row>
    <row r="25">
      <c r="B25" s="224" t="n">
        <v>10</v>
      </c>
      <c r="C25" s="230" t="inlineStr">
        <is>
          <t>Примечание</t>
        </is>
      </c>
      <c r="D25" s="224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А.Р. Маркова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tabSelected="1" view="pageBreakPreview" zoomScale="70" zoomScaleNormal="70" workbookViewId="0">
      <selection activeCell="G18" sqref="G18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18" customWidth="1" style="138" min="11" max="11"/>
    <col width="9.140625" customWidth="1" style="138" min="12" max="12"/>
  </cols>
  <sheetData>
    <row r="3">
      <c r="B3" s="218" t="inlineStr">
        <is>
          <t>Приложение № 2</t>
        </is>
      </c>
      <c r="K3" s="139" t="n"/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</row>
    <row r="6">
      <c r="B6" s="220">
        <f>'Прил.1 Сравнит табл'!B7:D7</f>
        <v/>
      </c>
    </row>
    <row r="7">
      <c r="B7" s="220">
        <f>'Прил.1 Сравнит табл'!B9:D9</f>
        <v/>
      </c>
    </row>
    <row r="8" ht="18.75" customHeight="1">
      <c r="B8" s="118" t="n"/>
    </row>
    <row r="9" ht="15.75" customHeight="1">
      <c r="B9" s="224" t="inlineStr">
        <is>
          <t>№ п/п</t>
        </is>
      </c>
      <c r="C9" s="22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4" t="inlineStr">
        <is>
          <t>Объект-представитель 1</t>
        </is>
      </c>
      <c r="E9" s="303" t="n"/>
      <c r="F9" s="303" t="n"/>
      <c r="G9" s="303" t="n"/>
      <c r="H9" s="303" t="n"/>
      <c r="I9" s="303" t="n"/>
      <c r="J9" s="304" t="n"/>
    </row>
    <row r="10" ht="15.75" customHeight="1">
      <c r="B10" s="305" t="n"/>
      <c r="C10" s="305" t="n"/>
      <c r="D10" s="224" t="inlineStr">
        <is>
          <t>Номер сметы</t>
        </is>
      </c>
      <c r="E10" s="224" t="inlineStr">
        <is>
          <t>Наименование сметы</t>
        </is>
      </c>
      <c r="F10" s="224" t="inlineStr">
        <is>
          <t>Сметная стоимость в уровне цен 2 кв. 2018 г., тыс. руб.</t>
        </is>
      </c>
      <c r="G10" s="303" t="n"/>
      <c r="H10" s="303" t="n"/>
      <c r="I10" s="303" t="n"/>
      <c r="J10" s="304" t="n"/>
    </row>
    <row r="11" ht="31.5" customHeight="1">
      <c r="B11" s="306" t="n"/>
      <c r="C11" s="306" t="n"/>
      <c r="D11" s="306" t="n"/>
      <c r="E11" s="306" t="n"/>
      <c r="F11" s="224" t="inlineStr">
        <is>
          <t>Строительные работы</t>
        </is>
      </c>
      <c r="G11" s="224" t="inlineStr">
        <is>
          <t>Монтажные работы</t>
        </is>
      </c>
      <c r="H11" s="224" t="inlineStr">
        <is>
          <t>Оборудование</t>
        </is>
      </c>
      <c r="I11" s="224" t="inlineStr">
        <is>
          <t>Прочее</t>
        </is>
      </c>
      <c r="J11" s="224" t="inlineStr">
        <is>
          <t>Всего</t>
        </is>
      </c>
    </row>
    <row r="12" ht="220.5" customHeight="1">
      <c r="B12" s="224" t="n">
        <v>1</v>
      </c>
      <c r="C12" s="224" t="inlineStr">
        <is>
          <t>Муфта концевая 6 кВ сечением 400 мм2</t>
        </is>
      </c>
      <c r="D12" s="146" t="inlineStr">
        <is>
          <t>02-01-05</t>
        </is>
      </c>
      <c r="E12" s="224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30" t="n"/>
      <c r="G12" s="174">
        <f>39010.8957/1000</f>
        <v/>
      </c>
      <c r="H12" s="174" t="n"/>
      <c r="I12" s="174" t="n"/>
      <c r="J12" s="174">
        <f>SUM(F12:I12)</f>
        <v/>
      </c>
    </row>
    <row r="13" ht="15" customHeight="1">
      <c r="B13" s="222" t="inlineStr">
        <is>
          <t>Всего по объекту:</t>
        </is>
      </c>
      <c r="C13" s="307" t="n"/>
      <c r="D13" s="307" t="n"/>
      <c r="E13" s="308" t="n"/>
      <c r="F13" s="175" t="n"/>
      <c r="G13" s="176">
        <f>SUM(G12)</f>
        <v/>
      </c>
      <c r="H13" s="176" t="n"/>
      <c r="I13" s="176" t="n"/>
      <c r="J13" s="177">
        <f>SUM(J12)</f>
        <v/>
      </c>
    </row>
    <row r="14" ht="15.75" customHeight="1">
      <c r="B14" s="223" t="inlineStr">
        <is>
          <t>Всего по объекту в сопоставимом уровне цен 2 кв. 2018 г:</t>
        </is>
      </c>
      <c r="C14" s="303" t="n"/>
      <c r="D14" s="303" t="n"/>
      <c r="E14" s="304" t="n"/>
      <c r="F14" s="178" t="n"/>
      <c r="G14" s="179">
        <f>G13</f>
        <v/>
      </c>
      <c r="H14" s="179" t="n"/>
      <c r="I14" s="179" t="n"/>
      <c r="J14" s="177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"/>
  <sheetViews>
    <sheetView view="pageBreakPreview" topLeftCell="A1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 ht="18.75" customHeight="1">
      <c r="A4" s="161" t="n"/>
      <c r="B4" s="161" t="n"/>
      <c r="C4" s="226" t="n"/>
    </row>
    <row r="5">
      <c r="A5" s="220" t="n"/>
    </row>
    <row r="6">
      <c r="A6" s="225" t="inlineStr">
        <is>
          <t>Наименование разрабатываемого показателя УНЦ -  Муфта концевая 6 кВ сечением 400 мм2.</t>
        </is>
      </c>
    </row>
    <row r="7">
      <c r="A7" s="149" t="n"/>
      <c r="B7" s="149" t="n"/>
      <c r="C7" s="149" t="n"/>
      <c r="D7" s="149" t="n"/>
      <c r="E7" s="149" t="n"/>
      <c r="F7" s="149" t="n"/>
      <c r="G7" s="149" t="n"/>
      <c r="H7" s="149" t="n"/>
    </row>
    <row r="8" ht="38.25" customHeight="1">
      <c r="A8" s="224" t="inlineStr">
        <is>
          <t>п/п</t>
        </is>
      </c>
      <c r="B8" s="224" t="inlineStr">
        <is>
          <t>№ЛСР</t>
        </is>
      </c>
      <c r="C8" s="224" t="inlineStr">
        <is>
          <t>Код ресурса</t>
        </is>
      </c>
      <c r="D8" s="224" t="inlineStr">
        <is>
          <t>Наименование ресурса</t>
        </is>
      </c>
      <c r="E8" s="224" t="inlineStr">
        <is>
          <t>Ед. изм.</t>
        </is>
      </c>
      <c r="F8" s="224" t="inlineStr">
        <is>
          <t>Кол-во единиц по данным объекта-представителя</t>
        </is>
      </c>
      <c r="G8" s="224" t="inlineStr">
        <is>
          <t>Сметная стоимость в ценах на 01.01.2000 (руб.)</t>
        </is>
      </c>
      <c r="H8" s="304" t="n"/>
    </row>
    <row r="9" ht="40.5" customHeight="1">
      <c r="A9" s="306" t="n"/>
      <c r="B9" s="306" t="n"/>
      <c r="C9" s="306" t="n"/>
      <c r="D9" s="306" t="n"/>
      <c r="E9" s="306" t="n"/>
      <c r="F9" s="306" t="n"/>
      <c r="G9" s="224" t="inlineStr">
        <is>
          <t>на ед.изм.</t>
        </is>
      </c>
      <c r="H9" s="224" t="inlineStr">
        <is>
          <t>общая</t>
        </is>
      </c>
    </row>
    <row r="10">
      <c r="A10" s="151" t="n">
        <v>1</v>
      </c>
      <c r="B10" s="151" t="n"/>
      <c r="C10" s="151" t="n">
        <v>2</v>
      </c>
      <c r="D10" s="151" t="inlineStr">
        <is>
          <t>З</t>
        </is>
      </c>
      <c r="E10" s="151" t="n">
        <v>4</v>
      </c>
      <c r="F10" s="151" t="n">
        <v>5</v>
      </c>
      <c r="G10" s="151" t="n">
        <v>6</v>
      </c>
      <c r="H10" s="151" t="n">
        <v>7</v>
      </c>
    </row>
    <row r="11" customFormat="1" s="150">
      <c r="A11" s="228" t="inlineStr">
        <is>
          <t>Затраты труда рабочих</t>
        </is>
      </c>
      <c r="B11" s="303" t="n"/>
      <c r="C11" s="303" t="n"/>
      <c r="D11" s="303" t="n"/>
      <c r="E11" s="304" t="n"/>
      <c r="F11" s="309">
        <f>SUM(F12:F12)</f>
        <v/>
      </c>
      <c r="G11" s="10" t="n"/>
      <c r="H11" s="310">
        <f>SUM(H12:H12)</f>
        <v/>
      </c>
    </row>
    <row r="12">
      <c r="A12" s="239" t="n">
        <v>1</v>
      </c>
      <c r="B12" s="181" t="n"/>
      <c r="C12" s="164" t="inlineStr">
        <is>
          <t>1-3-8</t>
        </is>
      </c>
      <c r="D12" s="238" t="inlineStr">
        <is>
          <t>Затраты труда рабочих (средний разряд работы 3,8)</t>
        </is>
      </c>
      <c r="E12" s="239" t="inlineStr">
        <is>
          <t>чел.-ч</t>
        </is>
      </c>
      <c r="F12" s="239" t="n">
        <v>14.52</v>
      </c>
      <c r="G12" s="311" t="n">
        <v>9.4</v>
      </c>
      <c r="H12" s="129">
        <f>ROUND(F12*G12,2)</f>
        <v/>
      </c>
      <c r="M12" s="312" t="n"/>
    </row>
    <row r="13">
      <c r="A13" s="227" t="inlineStr">
        <is>
          <t>Затраты труда машинистов</t>
        </is>
      </c>
      <c r="B13" s="303" t="n"/>
      <c r="C13" s="303" t="n"/>
      <c r="D13" s="303" t="n"/>
      <c r="E13" s="304" t="n"/>
      <c r="F13" s="228" t="n"/>
      <c r="G13" s="184" t="n"/>
      <c r="H13" s="310">
        <f>H14</f>
        <v/>
      </c>
    </row>
    <row r="14">
      <c r="A14" s="239" t="n">
        <v>2</v>
      </c>
      <c r="B14" s="229" t="n"/>
      <c r="C14" s="164" t="n">
        <v>2</v>
      </c>
      <c r="D14" s="238" t="inlineStr">
        <is>
          <t>Затраты труда машинистов</t>
        </is>
      </c>
      <c r="E14" s="239" t="inlineStr">
        <is>
          <t>чел.-ч</t>
        </is>
      </c>
      <c r="F14" s="239" t="n">
        <v>12.06</v>
      </c>
      <c r="G14" s="32" t="n"/>
      <c r="H14" s="186" t="n">
        <v>162.82</v>
      </c>
    </row>
    <row r="15" customFormat="1" s="150">
      <c r="A15" s="228" t="inlineStr">
        <is>
          <t>Машины и механизмы</t>
        </is>
      </c>
      <c r="B15" s="303" t="n"/>
      <c r="C15" s="303" t="n"/>
      <c r="D15" s="303" t="n"/>
      <c r="E15" s="304" t="n"/>
      <c r="F15" s="228" t="n"/>
      <c r="G15" s="184" t="n"/>
      <c r="H15" s="310">
        <f>SUM(H16:H16)</f>
        <v/>
      </c>
    </row>
    <row r="16">
      <c r="A16" s="239" t="n">
        <v>3</v>
      </c>
      <c r="B16" s="229" t="n"/>
      <c r="C16" s="164" t="inlineStr">
        <is>
          <t>91.06.09-001</t>
        </is>
      </c>
      <c r="D16" s="238" t="inlineStr">
        <is>
          <t>Вышки телескопические 25 м</t>
        </is>
      </c>
      <c r="E16" s="239" t="inlineStr">
        <is>
          <t>маш.час</t>
        </is>
      </c>
      <c r="F16" s="239" t="n">
        <v>12.06</v>
      </c>
      <c r="G16" s="187" t="n">
        <v>142.7</v>
      </c>
      <c r="H16" s="129">
        <f>ROUND(F16*G16,2)</f>
        <v/>
      </c>
      <c r="I16" s="168" t="n"/>
      <c r="J16" s="168" t="n"/>
      <c r="L16" s="168" t="n"/>
    </row>
    <row r="17">
      <c r="A17" s="228" t="inlineStr">
        <is>
          <t>Материалы</t>
        </is>
      </c>
      <c r="B17" s="303" t="n"/>
      <c r="C17" s="303" t="n"/>
      <c r="D17" s="303" t="n"/>
      <c r="E17" s="304" t="n"/>
      <c r="F17" s="228" t="n"/>
      <c r="G17" s="184" t="n"/>
      <c r="H17" s="310">
        <f>SUM(H18:H21)</f>
        <v/>
      </c>
    </row>
    <row r="18">
      <c r="A18" s="7" t="n">
        <v>4</v>
      </c>
      <c r="B18" s="7" t="n"/>
      <c r="C18" s="239" t="inlineStr">
        <is>
          <t>Прайс из СД ОП</t>
        </is>
      </c>
      <c r="D18" s="25" t="inlineStr">
        <is>
          <t>Муфта концевая 6 кВ сечением 400 мм2</t>
        </is>
      </c>
      <c r="E18" s="239" t="inlineStr">
        <is>
          <t>шт</t>
        </is>
      </c>
      <c r="F18" s="239" t="n">
        <v>6</v>
      </c>
      <c r="G18" s="25" t="n">
        <v>540.29</v>
      </c>
      <c r="H18" s="129" t="n">
        <v>4381.38</v>
      </c>
    </row>
    <row r="19">
      <c r="A19" s="188" t="n">
        <v>5</v>
      </c>
      <c r="B19" s="229" t="n"/>
      <c r="C19" s="164" t="inlineStr">
        <is>
          <t>01.3.01.01-0001</t>
        </is>
      </c>
      <c r="D19" s="238" t="inlineStr">
        <is>
          <t>Бензин авиационный Б-70</t>
        </is>
      </c>
      <c r="E19" s="239" t="inlineStr">
        <is>
          <t>т</t>
        </is>
      </c>
      <c r="F19" s="239" t="n">
        <v>0.0008</v>
      </c>
      <c r="G19" s="32" t="n">
        <v>4488.4</v>
      </c>
      <c r="H19" s="129" t="n">
        <v>3.59</v>
      </c>
      <c r="I19" s="157" t="n"/>
      <c r="J19" s="168" t="n"/>
      <c r="K19" s="168" t="n"/>
    </row>
    <row r="20">
      <c r="A20" s="188" t="n">
        <v>6</v>
      </c>
      <c r="B20" s="229" t="n"/>
      <c r="C20" s="164" t="inlineStr">
        <is>
          <t>01.7.06.07-0002</t>
        </is>
      </c>
      <c r="D20" s="238" t="inlineStr">
        <is>
          <t>Лента монтажная, тип ЛМ-5</t>
        </is>
      </c>
      <c r="E20" s="239" t="inlineStr">
        <is>
          <t>10 м</t>
        </is>
      </c>
      <c r="F20" s="239" t="n">
        <v>0.048</v>
      </c>
      <c r="G20" s="32" t="n">
        <v>6.9</v>
      </c>
      <c r="H20" s="129" t="n">
        <v>0.33</v>
      </c>
      <c r="I20" s="157" t="n"/>
      <c r="J20" s="168" t="n"/>
      <c r="K20" s="168" t="n"/>
    </row>
    <row r="21">
      <c r="A21" s="7" t="n">
        <v>7</v>
      </c>
      <c r="B21" s="229" t="n"/>
      <c r="C21" s="164" t="inlineStr">
        <is>
          <t>01.3.01.05-0009</t>
        </is>
      </c>
      <c r="D21" s="238" t="inlineStr">
        <is>
          <t>Парафин нефтяной твердый Т-1</t>
        </is>
      </c>
      <c r="E21" s="239" t="inlineStr">
        <is>
          <t>т</t>
        </is>
      </c>
      <c r="F21" s="239" t="n">
        <v>2e-05</v>
      </c>
      <c r="G21" s="32" t="n">
        <v>8105.71</v>
      </c>
      <c r="H21" s="129" t="n">
        <v>0.16</v>
      </c>
      <c r="I21" s="157" t="n"/>
      <c r="J21" s="168" t="n"/>
      <c r="K21" s="168" t="n"/>
    </row>
    <row r="23">
      <c r="B23" s="138" t="inlineStr">
        <is>
          <t>Составил ______________________     А.Р. Маркова</t>
        </is>
      </c>
    </row>
    <row r="24">
      <c r="B24" s="139" t="inlineStr">
        <is>
          <t xml:space="preserve">                         (подпись, инициалы, фамилия)</t>
        </is>
      </c>
    </row>
    <row r="26">
      <c r="B26" s="138" t="inlineStr">
        <is>
          <t>Проверил ______________________        А.В. Костянецкая</t>
        </is>
      </c>
    </row>
    <row r="27">
      <c r="B27" s="13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8" t="inlineStr">
        <is>
          <t>Ресурсная модель</t>
        </is>
      </c>
    </row>
    <row r="6">
      <c r="B6" s="156" t="n"/>
      <c r="C6" s="4" t="n"/>
      <c r="D6" s="4" t="n"/>
      <c r="E6" s="4" t="n"/>
    </row>
    <row r="7">
      <c r="B7" s="217" t="inlineStr">
        <is>
          <t>Наименование разрабатываемого показателя УНЦ — Муфта концевая 6 кВ сечением 400 мм2.</t>
        </is>
      </c>
    </row>
    <row r="8">
      <c r="B8" s="231" t="inlineStr">
        <is>
          <t>Единица измерения  — 1 ед</t>
        </is>
      </c>
    </row>
    <row r="9">
      <c r="B9" s="156" t="n"/>
      <c r="C9" s="4" t="n"/>
      <c r="D9" s="4" t="n"/>
      <c r="E9" s="4" t="n"/>
    </row>
    <row r="10" ht="51" customHeight="1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3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3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3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3">
        <f>'Прил.5 Расчет СМР и ОБ'!J37</f>
        <v/>
      </c>
      <c r="D17" s="27">
        <f>C17/$C$24</f>
        <v/>
      </c>
      <c r="E17" s="27">
        <f>C17/$C$40</f>
        <v/>
      </c>
      <c r="G17" s="313" t="n"/>
    </row>
    <row r="18">
      <c r="B18" s="25" t="inlineStr">
        <is>
          <t>МАТЕРИАЛЫ, ВСЕГО:</t>
        </is>
      </c>
      <c r="C18" s="15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5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3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3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4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4" t="n"/>
    </row>
    <row r="31">
      <c r="B31" s="25" t="inlineStr">
        <is>
          <t>Пусконаладочные работы</t>
        </is>
      </c>
      <c r="C31" s="165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7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5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5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3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3">
        <f>C40/'Прил.5 Расчет СМР и ОБ'!E44</f>
        <v/>
      </c>
      <c r="D41" s="25" t="n"/>
      <c r="E41" s="25" t="n"/>
    </row>
    <row r="42">
      <c r="B42" s="152" t="n"/>
      <c r="C42" s="4" t="n"/>
      <c r="D42" s="4" t="n"/>
      <c r="E42" s="4" t="n"/>
    </row>
    <row r="43">
      <c r="B43" s="152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2" t="n"/>
      <c r="C45" s="4" t="n"/>
      <c r="D45" s="4" t="n"/>
      <c r="E45" s="4" t="n"/>
    </row>
    <row r="46">
      <c r="B46" s="15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view="pageBreakPreview" topLeftCell="A2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8" t="inlineStr">
        <is>
          <t>Расчет стоимости СМР и оборудования</t>
        </is>
      </c>
    </row>
    <row r="5" ht="12.75" customFormat="1" customHeight="1" s="4">
      <c r="A5" s="208" t="n"/>
      <c r="B5" s="208" t="n"/>
      <c r="C5" s="260" t="n"/>
      <c r="D5" s="208" t="n"/>
      <c r="E5" s="208" t="n"/>
      <c r="F5" s="208" t="n"/>
      <c r="G5" s="208" t="n"/>
      <c r="H5" s="208" t="n"/>
      <c r="I5" s="208" t="n"/>
      <c r="J5" s="208" t="n"/>
    </row>
    <row r="6" ht="12.75" customFormat="1" customHeight="1" s="4">
      <c r="A6" s="134" t="inlineStr">
        <is>
          <t>Наименование разрабатываемого показателя УНЦ</t>
        </is>
      </c>
      <c r="B6" s="133" t="n"/>
      <c r="C6" s="133" t="n"/>
      <c r="D6" s="211" t="inlineStr">
        <is>
          <t>Муфта концевая 6 кВ сечением 400 мм2.</t>
        </is>
      </c>
    </row>
    <row r="7" ht="12.75" customFormat="1" customHeight="1" s="4">
      <c r="A7" s="211" t="inlineStr">
        <is>
          <t>Единица измерения  — 1 ед</t>
        </is>
      </c>
      <c r="I7" s="217" t="n"/>
      <c r="J7" s="217" t="n"/>
    </row>
    <row r="8" ht="13.5" customFormat="1" customHeight="1" s="4">
      <c r="A8" s="211" t="n"/>
    </row>
    <row r="9" ht="13.15" customFormat="1" customHeight="1" s="4"/>
    <row r="10" ht="27" customHeight="1">
      <c r="A10" s="239" t="inlineStr">
        <is>
          <t>№ пп.</t>
        </is>
      </c>
      <c r="B10" s="239" t="inlineStr">
        <is>
          <t>Код ресурса</t>
        </is>
      </c>
      <c r="C10" s="239" t="inlineStr">
        <is>
          <t>Наименование</t>
        </is>
      </c>
      <c r="D10" s="239" t="inlineStr">
        <is>
          <t>Ед. изм.</t>
        </is>
      </c>
      <c r="E10" s="239" t="inlineStr">
        <is>
          <t>Кол-во единиц по проектным данным</t>
        </is>
      </c>
      <c r="F10" s="239" t="inlineStr">
        <is>
          <t>Сметная стоимость в ценах на 01.01.2000 (руб.)</t>
        </is>
      </c>
      <c r="G10" s="304" t="n"/>
      <c r="H10" s="239" t="inlineStr">
        <is>
          <t>Удельный вес, %</t>
        </is>
      </c>
      <c r="I10" s="239" t="inlineStr">
        <is>
          <t>Сметная стоимость в ценах на 01.01.2023 (руб.)</t>
        </is>
      </c>
      <c r="J10" s="304" t="n"/>
      <c r="M10" s="12" t="n"/>
      <c r="N10" s="12" t="n"/>
    </row>
    <row r="11" ht="28.5" customHeight="1">
      <c r="A11" s="306" t="n"/>
      <c r="B11" s="306" t="n"/>
      <c r="C11" s="306" t="n"/>
      <c r="D11" s="306" t="n"/>
      <c r="E11" s="306" t="n"/>
      <c r="F11" s="239" t="inlineStr">
        <is>
          <t>на ед. изм.</t>
        </is>
      </c>
      <c r="G11" s="239" t="inlineStr">
        <is>
          <t>общая</t>
        </is>
      </c>
      <c r="H11" s="306" t="n"/>
      <c r="I11" s="239" t="inlineStr">
        <is>
          <t>на ед. изм.</t>
        </is>
      </c>
      <c r="J11" s="239" t="inlineStr">
        <is>
          <t>общая</t>
        </is>
      </c>
      <c r="M11" s="12" t="n"/>
      <c r="N11" s="12" t="n"/>
    </row>
    <row r="12">
      <c r="A12" s="239" t="n">
        <v>1</v>
      </c>
      <c r="B12" s="239" t="n">
        <v>2</v>
      </c>
      <c r="C12" s="239" t="n">
        <v>3</v>
      </c>
      <c r="D12" s="239" t="n">
        <v>4</v>
      </c>
      <c r="E12" s="239" t="n">
        <v>5</v>
      </c>
      <c r="F12" s="239" t="n">
        <v>6</v>
      </c>
      <c r="G12" s="239" t="n">
        <v>7</v>
      </c>
      <c r="H12" s="239" t="n">
        <v>8</v>
      </c>
      <c r="I12" s="233" t="n">
        <v>9</v>
      </c>
      <c r="J12" s="233" t="n">
        <v>10</v>
      </c>
      <c r="M12" s="12" t="n"/>
      <c r="N12" s="12" t="n"/>
    </row>
    <row r="13">
      <c r="A13" s="239" t="n"/>
      <c r="B13" s="237" t="inlineStr">
        <is>
          <t>Затраты труда рабочих-строителей</t>
        </is>
      </c>
      <c r="C13" s="303" t="n"/>
      <c r="D13" s="303" t="n"/>
      <c r="E13" s="303" t="n"/>
      <c r="F13" s="303" t="n"/>
      <c r="G13" s="303" t="n"/>
      <c r="H13" s="304" t="n"/>
      <c r="I13" s="189" t="n"/>
      <c r="J13" s="189" t="n"/>
    </row>
    <row r="14" ht="25.5" customHeight="1">
      <c r="A14" s="239" t="n">
        <v>1</v>
      </c>
      <c r="B14" s="164" t="inlineStr">
        <is>
          <t>1-3-8</t>
        </is>
      </c>
      <c r="C14" s="238" t="inlineStr">
        <is>
          <t>Затраты труда рабочих-строителей среднего разряда (3,8)</t>
        </is>
      </c>
      <c r="D14" s="239" t="inlineStr">
        <is>
          <t>чел.-ч.</t>
        </is>
      </c>
      <c r="E14" s="314">
        <f>G14/F14</f>
        <v/>
      </c>
      <c r="F14" s="32" t="n">
        <v>9.4</v>
      </c>
      <c r="G14" s="32">
        <f>'Прил. 3'!H11</f>
        <v/>
      </c>
      <c r="H14" s="12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9" t="n"/>
      <c r="B15" s="239" t="n"/>
      <c r="C15" s="237" t="inlineStr">
        <is>
          <t>Итого по разделу "Затраты труда рабочих-строителей"</t>
        </is>
      </c>
      <c r="D15" s="239" t="inlineStr">
        <is>
          <t>чел.-ч.</t>
        </is>
      </c>
      <c r="E15" s="314">
        <f>SUM(E14:E14)</f>
        <v/>
      </c>
      <c r="F15" s="32" t="n"/>
      <c r="G15" s="32">
        <f>SUM(G14:G14)</f>
        <v/>
      </c>
      <c r="H15" s="242" t="n">
        <v>1</v>
      </c>
      <c r="I15" s="189" t="n"/>
      <c r="J15" s="32">
        <f>SUM(J14:J14)</f>
        <v/>
      </c>
    </row>
    <row r="16" ht="14.25" customFormat="1" customHeight="1" s="12">
      <c r="A16" s="239" t="n"/>
      <c r="B16" s="238" t="inlineStr">
        <is>
          <t>Затраты труда машинистов</t>
        </is>
      </c>
      <c r="C16" s="303" t="n"/>
      <c r="D16" s="303" t="n"/>
      <c r="E16" s="303" t="n"/>
      <c r="F16" s="303" t="n"/>
      <c r="G16" s="303" t="n"/>
      <c r="H16" s="304" t="n"/>
      <c r="I16" s="189" t="n"/>
      <c r="J16" s="189" t="n"/>
    </row>
    <row r="17" ht="14.25" customFormat="1" customHeight="1" s="12">
      <c r="A17" s="239" t="n">
        <v>2</v>
      </c>
      <c r="B17" s="239" t="n">
        <v>2</v>
      </c>
      <c r="C17" s="238" t="inlineStr">
        <is>
          <t>Затраты труда машинистов</t>
        </is>
      </c>
      <c r="D17" s="239" t="inlineStr">
        <is>
          <t>чел.-ч.</t>
        </is>
      </c>
      <c r="E17" s="314" t="n">
        <v>12.06</v>
      </c>
      <c r="F17" s="32">
        <f>G17/E17</f>
        <v/>
      </c>
      <c r="G17" s="32">
        <f>'Прил. 3'!H13</f>
        <v/>
      </c>
      <c r="H17" s="24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9" t="n"/>
      <c r="B18" s="237" t="inlineStr">
        <is>
          <t>Машины и механизмы</t>
        </is>
      </c>
      <c r="C18" s="303" t="n"/>
      <c r="D18" s="303" t="n"/>
      <c r="E18" s="303" t="n"/>
      <c r="F18" s="303" t="n"/>
      <c r="G18" s="303" t="n"/>
      <c r="H18" s="304" t="n"/>
      <c r="I18" s="189" t="n"/>
      <c r="J18" s="189" t="n"/>
    </row>
    <row r="19" ht="14.25" customFormat="1" customHeight="1" s="12">
      <c r="A19" s="239" t="n"/>
      <c r="B19" s="238" t="inlineStr">
        <is>
          <t>Основные машины и механизмы</t>
        </is>
      </c>
      <c r="C19" s="303" t="n"/>
      <c r="D19" s="303" t="n"/>
      <c r="E19" s="303" t="n"/>
      <c r="F19" s="303" t="n"/>
      <c r="G19" s="303" t="n"/>
      <c r="H19" s="304" t="n"/>
      <c r="I19" s="189" t="n"/>
      <c r="J19" s="189" t="n"/>
    </row>
    <row r="20" ht="14.25" customFormat="1" customHeight="1" s="12">
      <c r="A20" s="239" t="n">
        <v>3</v>
      </c>
      <c r="B20" s="164" t="inlineStr">
        <is>
          <t>91.06.09-001</t>
        </is>
      </c>
      <c r="C20" s="238" t="inlineStr">
        <is>
          <t>Вышки телескопические 25 м</t>
        </is>
      </c>
      <c r="D20" s="239" t="inlineStr">
        <is>
          <t>маш.час</t>
        </is>
      </c>
      <c r="E20" s="315" t="n">
        <v>12.06</v>
      </c>
      <c r="F20" s="187" t="n">
        <v>142.7</v>
      </c>
      <c r="G20" s="32">
        <f>ROUND(E20*F20,2)</f>
        <v/>
      </c>
      <c r="H20" s="125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39" t="n"/>
      <c r="B21" s="239" t="n"/>
      <c r="C21" s="238" t="inlineStr">
        <is>
          <t>Итого основные машины и механизмы</t>
        </is>
      </c>
      <c r="D21" s="239" t="n"/>
      <c r="E21" s="314" t="n"/>
      <c r="F21" s="32" t="n"/>
      <c r="G21" s="32">
        <f>SUM(G20:G20)</f>
        <v/>
      </c>
      <c r="H21" s="242">
        <f>G21/G23</f>
        <v/>
      </c>
      <c r="I21" s="129" t="n"/>
      <c r="J21" s="32">
        <f>SUM(J20:J20)</f>
        <v/>
      </c>
    </row>
    <row r="22" ht="14.25" customFormat="1" customHeight="1" s="12">
      <c r="A22" s="239" t="n"/>
      <c r="B22" s="239" t="n"/>
      <c r="C22" s="238" t="inlineStr">
        <is>
          <t>Итого прочие машины и механизмы</t>
        </is>
      </c>
      <c r="D22" s="239" t="n"/>
      <c r="E22" s="240" t="n"/>
      <c r="F22" s="32" t="n"/>
      <c r="G22" s="129" t="n">
        <v>0</v>
      </c>
      <c r="H22" s="125">
        <f>G22/G23</f>
        <v/>
      </c>
      <c r="I22" s="32" t="n"/>
      <c r="J22" s="32" t="n">
        <v>0</v>
      </c>
    </row>
    <row r="23" ht="25.5" customFormat="1" customHeight="1" s="12">
      <c r="A23" s="239" t="n"/>
      <c r="B23" s="239" t="n"/>
      <c r="C23" s="237" t="inlineStr">
        <is>
          <t>Итого по разделу «Машины и механизмы»</t>
        </is>
      </c>
      <c r="D23" s="239" t="n"/>
      <c r="E23" s="240" t="n"/>
      <c r="F23" s="32" t="n"/>
      <c r="G23" s="32">
        <f>G22+G21</f>
        <v/>
      </c>
      <c r="H23" s="126" t="n">
        <v>1</v>
      </c>
      <c r="I23" s="127" t="n"/>
      <c r="J23" s="128">
        <f>J22+J21</f>
        <v/>
      </c>
    </row>
    <row r="24" ht="14.25" customFormat="1" customHeight="1" s="12">
      <c r="A24" s="239" t="n"/>
      <c r="B24" s="237" t="inlineStr">
        <is>
          <t>Оборудование</t>
        </is>
      </c>
      <c r="C24" s="303" t="n"/>
      <c r="D24" s="303" t="n"/>
      <c r="E24" s="303" t="n"/>
      <c r="F24" s="303" t="n"/>
      <c r="G24" s="303" t="n"/>
      <c r="H24" s="304" t="n"/>
      <c r="I24" s="189" t="n"/>
      <c r="J24" s="189" t="n"/>
    </row>
    <row r="25">
      <c r="A25" s="239" t="n"/>
      <c r="B25" s="238" t="inlineStr">
        <is>
          <t>Основное оборудование</t>
        </is>
      </c>
      <c r="C25" s="303" t="n"/>
      <c r="D25" s="303" t="n"/>
      <c r="E25" s="303" t="n"/>
      <c r="F25" s="303" t="n"/>
      <c r="G25" s="303" t="n"/>
      <c r="H25" s="304" t="n"/>
      <c r="I25" s="189" t="n"/>
      <c r="J25" s="189" t="n"/>
    </row>
    <row r="26">
      <c r="A26" s="239" t="n"/>
      <c r="B26" s="239" t="n"/>
      <c r="C26" s="238" t="inlineStr">
        <is>
          <t>Итого основное оборудование</t>
        </is>
      </c>
      <c r="D26" s="239" t="n"/>
      <c r="E26" s="315" t="n"/>
      <c r="F26" s="241" t="n"/>
      <c r="G26" s="32" t="n">
        <v>0</v>
      </c>
      <c r="H26" s="125" t="n">
        <v>0</v>
      </c>
      <c r="I26" s="129" t="n"/>
      <c r="J26" s="32" t="n">
        <v>0</v>
      </c>
    </row>
    <row r="27">
      <c r="A27" s="239" t="n"/>
      <c r="B27" s="239" t="n"/>
      <c r="C27" s="238" t="inlineStr">
        <is>
          <t>Итого прочее оборудование</t>
        </is>
      </c>
      <c r="D27" s="239" t="n"/>
      <c r="E27" s="314" t="n"/>
      <c r="F27" s="241" t="n"/>
      <c r="G27" s="32" t="n">
        <v>0</v>
      </c>
      <c r="H27" s="125" t="n">
        <v>0</v>
      </c>
      <c r="I27" s="129" t="n"/>
      <c r="J27" s="32" t="n">
        <v>0</v>
      </c>
    </row>
    <row r="28">
      <c r="A28" s="239" t="n"/>
      <c r="B28" s="239" t="n"/>
      <c r="C28" s="237" t="inlineStr">
        <is>
          <t>Итого по разделу «Оборудование»</t>
        </is>
      </c>
      <c r="D28" s="239" t="n"/>
      <c r="E28" s="240" t="n"/>
      <c r="F28" s="241" t="n"/>
      <c r="G28" s="32">
        <f>G26+G27</f>
        <v/>
      </c>
      <c r="H28" s="125" t="n">
        <v>0</v>
      </c>
      <c r="I28" s="129" t="n"/>
      <c r="J28" s="32">
        <f>J27+J26</f>
        <v/>
      </c>
    </row>
    <row r="29" ht="25.5" customHeight="1">
      <c r="A29" s="239" t="n"/>
      <c r="B29" s="239" t="n"/>
      <c r="C29" s="238" t="inlineStr">
        <is>
          <t>в том числе технологическое оборудование</t>
        </is>
      </c>
      <c r="D29" s="239" t="n"/>
      <c r="E29" s="315" t="n"/>
      <c r="F29" s="241" t="n"/>
      <c r="G29" s="32">
        <f>'Прил.6 Расчет ОБ'!G12</f>
        <v/>
      </c>
      <c r="H29" s="242" t="n"/>
      <c r="I29" s="129" t="n"/>
      <c r="J29" s="32">
        <f>J28</f>
        <v/>
      </c>
    </row>
    <row r="30" ht="14.25" customFormat="1" customHeight="1" s="12">
      <c r="A30" s="239" t="n"/>
      <c r="B30" s="237" t="inlineStr">
        <is>
          <t>Материалы</t>
        </is>
      </c>
      <c r="C30" s="303" t="n"/>
      <c r="D30" s="303" t="n"/>
      <c r="E30" s="303" t="n"/>
      <c r="F30" s="303" t="n"/>
      <c r="G30" s="303" t="n"/>
      <c r="H30" s="304" t="n"/>
      <c r="I30" s="189" t="n"/>
      <c r="J30" s="189" t="n"/>
    </row>
    <row r="31" ht="14.25" customFormat="1" customHeight="1" s="12">
      <c r="A31" s="233" t="n"/>
      <c r="B31" s="232" t="inlineStr">
        <is>
          <t>Основные материалы</t>
        </is>
      </c>
      <c r="C31" s="316" t="n"/>
      <c r="D31" s="316" t="n"/>
      <c r="E31" s="316" t="n"/>
      <c r="F31" s="316" t="n"/>
      <c r="G31" s="316" t="n"/>
      <c r="H31" s="317" t="n"/>
      <c r="I31" s="190" t="n"/>
      <c r="J31" s="190" t="n"/>
    </row>
    <row r="32" ht="14.25" customFormat="1" customHeight="1" s="12">
      <c r="A32" s="239" t="n">
        <v>6</v>
      </c>
      <c r="B32" s="239" t="inlineStr">
        <is>
          <t>БЦ.91.31</t>
        </is>
      </c>
      <c r="C32" s="238" t="inlineStr">
        <is>
          <t>Муфта концевая 6 кВ сечением 400 мм2</t>
        </is>
      </c>
      <c r="D32" s="239" t="inlineStr">
        <is>
          <t>шт</t>
        </is>
      </c>
      <c r="E32" s="315" t="n">
        <v>6</v>
      </c>
      <c r="F32" s="241">
        <f>ROUND(I32/'Прил. 10'!$D$13,2)</f>
        <v/>
      </c>
      <c r="G32" s="32">
        <f>ROUND(E32*F32,2)</f>
        <v/>
      </c>
      <c r="H32" s="125">
        <f>G32/$G$38</f>
        <v/>
      </c>
      <c r="I32" s="32" t="n">
        <v>3024.25</v>
      </c>
      <c r="J32" s="32">
        <f>ROUND(I32*E32,2)</f>
        <v/>
      </c>
    </row>
    <row r="33" ht="14.25" customFormat="1" customHeight="1" s="12">
      <c r="A33" s="250" t="n"/>
      <c r="B33" s="136" t="n"/>
      <c r="C33" s="166" t="inlineStr">
        <is>
          <t>Итого основные материалы</t>
        </is>
      </c>
      <c r="D33" s="250" t="n"/>
      <c r="E33" s="318" t="n"/>
      <c r="F33" s="128" t="n"/>
      <c r="G33" s="128">
        <f>SUM(G32:G32)</f>
        <v/>
      </c>
      <c r="H33" s="125">
        <f>G33/$G$38</f>
        <v/>
      </c>
      <c r="I33" s="32" t="n"/>
      <c r="J33" s="128">
        <f>SUM(J32:J32)</f>
        <v/>
      </c>
    </row>
    <row r="34" outlineLevel="1" ht="14.25" customFormat="1" customHeight="1" s="12">
      <c r="A34" s="239" t="n">
        <v>7</v>
      </c>
      <c r="B34" s="164" t="inlineStr">
        <is>
          <t>01.3.01.01-0001</t>
        </is>
      </c>
      <c r="C34" s="238" t="inlineStr">
        <is>
          <t>Бензин авиационный Б-70</t>
        </is>
      </c>
      <c r="D34" s="239" t="inlineStr">
        <is>
          <t>т</t>
        </is>
      </c>
      <c r="E34" s="315" t="n">
        <v>0.0008</v>
      </c>
      <c r="F34" s="32" t="n">
        <v>4488.4</v>
      </c>
      <c r="G34" s="32">
        <f>ROUND(E34*F34,2)</f>
        <v/>
      </c>
      <c r="H34" s="125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39" t="n">
        <v>8</v>
      </c>
      <c r="B35" s="164" t="inlineStr">
        <is>
          <t>01.7.06.07-0002</t>
        </is>
      </c>
      <c r="C35" s="238" t="inlineStr">
        <is>
          <t>Лента монтажная, тип ЛМ-5</t>
        </is>
      </c>
      <c r="D35" s="239" t="inlineStr">
        <is>
          <t>10 м</t>
        </is>
      </c>
      <c r="E35" s="315" t="n">
        <v>0.048</v>
      </c>
      <c r="F35" s="32" t="n">
        <v>6.9</v>
      </c>
      <c r="G35" s="32">
        <f>ROUND(E35*F35,2)</f>
        <v/>
      </c>
      <c r="H35" s="125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39" t="n">
        <v>9</v>
      </c>
      <c r="B36" s="164" t="inlineStr">
        <is>
          <t>01.3.01.05-0009</t>
        </is>
      </c>
      <c r="C36" s="238" t="inlineStr">
        <is>
          <t>Парафин нефтяной твердый Т-1</t>
        </is>
      </c>
      <c r="D36" s="239" t="inlineStr">
        <is>
          <t>т</t>
        </is>
      </c>
      <c r="E36" s="315" t="n">
        <v>2e-05</v>
      </c>
      <c r="F36" s="32" t="n">
        <v>8105.71</v>
      </c>
      <c r="G36" s="32">
        <f>ROUND(E36*F36,2)</f>
        <v/>
      </c>
      <c r="H36" s="125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50" t="n"/>
      <c r="B37" s="250" t="n"/>
      <c r="C37" s="166" t="inlineStr">
        <is>
          <t>Итого прочие материалы</t>
        </is>
      </c>
      <c r="D37" s="250" t="n"/>
      <c r="E37" s="318" t="n"/>
      <c r="F37" s="167" t="n"/>
      <c r="G37" s="128">
        <f>SUM(G34:G36)</f>
        <v/>
      </c>
      <c r="H37" s="125">
        <f>G37/$G$38</f>
        <v/>
      </c>
      <c r="I37" s="32" t="n"/>
      <c r="J37" s="32">
        <f>SUM(J34:J36)</f>
        <v/>
      </c>
    </row>
    <row r="38" ht="14.25" customFormat="1" customHeight="1" s="12">
      <c r="A38" s="239" t="n"/>
      <c r="B38" s="239" t="n"/>
      <c r="C38" s="237" t="inlineStr">
        <is>
          <t>Итого по разделу «Материалы»</t>
        </is>
      </c>
      <c r="D38" s="239" t="n"/>
      <c r="E38" s="240" t="n"/>
      <c r="F38" s="241" t="n"/>
      <c r="G38" s="32">
        <f>G33+G37</f>
        <v/>
      </c>
      <c r="H38" s="242">
        <f>G38/$G$38</f>
        <v/>
      </c>
      <c r="I38" s="32" t="n"/>
      <c r="J38" s="32">
        <f>J33+J37</f>
        <v/>
      </c>
    </row>
    <row r="39" ht="14.25" customFormat="1" customHeight="1" s="12">
      <c r="A39" s="239" t="n"/>
      <c r="B39" s="239" t="n"/>
      <c r="C39" s="238" t="inlineStr">
        <is>
          <t>ИТОГО ПО РМ</t>
        </is>
      </c>
      <c r="D39" s="239" t="n"/>
      <c r="E39" s="240" t="n"/>
      <c r="F39" s="241" t="n"/>
      <c r="G39" s="32">
        <f>G15+G23+G38</f>
        <v/>
      </c>
      <c r="H39" s="242" t="n"/>
      <c r="I39" s="32" t="n"/>
      <c r="J39" s="32">
        <f>J15+J23+J38</f>
        <v/>
      </c>
    </row>
    <row r="40" ht="14.25" customFormat="1" customHeight="1" s="12">
      <c r="A40" s="239" t="n"/>
      <c r="B40" s="239" t="n"/>
      <c r="C40" s="238" t="inlineStr">
        <is>
          <t>Накладные расходы</t>
        </is>
      </c>
      <c r="D40" s="130">
        <f>ROUND(G40/(G$17+$G$15),2)</f>
        <v/>
      </c>
      <c r="E40" s="240" t="n"/>
      <c r="F40" s="241" t="n"/>
      <c r="G40" s="32" t="n">
        <v>290.32</v>
      </c>
      <c r="H40" s="242" t="n"/>
      <c r="I40" s="32" t="n"/>
      <c r="J40" s="32">
        <f>ROUND(D40*(J15+J17),2)</f>
        <v/>
      </c>
    </row>
    <row r="41" ht="14.25" customFormat="1" customHeight="1" s="12">
      <c r="A41" s="239" t="n"/>
      <c r="B41" s="239" t="n"/>
      <c r="C41" s="238" t="inlineStr">
        <is>
          <t>Сметная прибыль</t>
        </is>
      </c>
      <c r="D41" s="130">
        <f>ROUND(G41/(G$15+G$17),2)</f>
        <v/>
      </c>
      <c r="E41" s="240" t="n"/>
      <c r="F41" s="241" t="n"/>
      <c r="G41" s="32" t="n">
        <v>152.64</v>
      </c>
      <c r="H41" s="242" t="n"/>
      <c r="I41" s="32" t="n"/>
      <c r="J41" s="32">
        <f>ROUND(D41*(J15+J17),2)</f>
        <v/>
      </c>
    </row>
    <row r="42" ht="14.25" customFormat="1" customHeight="1" s="12">
      <c r="A42" s="239" t="n"/>
      <c r="B42" s="239" t="n"/>
      <c r="C42" s="238" t="inlineStr">
        <is>
          <t>Итого СМР (с НР и СП)</t>
        </is>
      </c>
      <c r="D42" s="239" t="n"/>
      <c r="E42" s="240" t="n"/>
      <c r="F42" s="241" t="n"/>
      <c r="G42" s="32">
        <f>G15+G23+G38+G40+G41</f>
        <v/>
      </c>
      <c r="H42" s="242" t="n"/>
      <c r="I42" s="32" t="n"/>
      <c r="J42" s="32">
        <f>J15+J23+J38+J40+J41</f>
        <v/>
      </c>
    </row>
    <row r="43" ht="14.25" customFormat="1" customHeight="1" s="12">
      <c r="A43" s="239" t="n"/>
      <c r="B43" s="239" t="n"/>
      <c r="C43" s="238" t="inlineStr">
        <is>
          <t>ВСЕГО СМР + ОБОРУДОВАНИЕ</t>
        </is>
      </c>
      <c r="D43" s="239" t="n"/>
      <c r="E43" s="240" t="n"/>
      <c r="F43" s="241" t="n"/>
      <c r="G43" s="32">
        <f>G42+G28</f>
        <v/>
      </c>
      <c r="H43" s="242" t="n"/>
      <c r="I43" s="32" t="n"/>
      <c r="J43" s="32">
        <f>J42+J28</f>
        <v/>
      </c>
    </row>
    <row r="44" ht="34.5" customFormat="1" customHeight="1" s="12">
      <c r="A44" s="239" t="n"/>
      <c r="B44" s="239" t="n"/>
      <c r="C44" s="238" t="inlineStr">
        <is>
          <t>ИТОГО ПОКАЗАТЕЛЬ НА ЕД. ИЗМ.</t>
        </is>
      </c>
      <c r="D44" s="239" t="inlineStr">
        <is>
          <t>1 ед</t>
        </is>
      </c>
      <c r="E44" s="315" t="n">
        <v>1</v>
      </c>
      <c r="F44" s="241" t="n"/>
      <c r="G44" s="32">
        <f>G43/E44</f>
        <v/>
      </c>
      <c r="H44" s="242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1" t="inlineStr">
        <is>
          <t>Приложение №6</t>
        </is>
      </c>
    </row>
    <row r="2" ht="21.75" customHeight="1">
      <c r="A2" s="251" t="n"/>
      <c r="B2" s="251" t="n"/>
      <c r="C2" s="251" t="n"/>
      <c r="D2" s="251" t="n"/>
      <c r="E2" s="251" t="n"/>
      <c r="F2" s="251" t="n"/>
      <c r="G2" s="251" t="n"/>
    </row>
    <row r="3">
      <c r="A3" s="208" t="inlineStr">
        <is>
          <t>Расчет стоимости оборудования</t>
        </is>
      </c>
    </row>
    <row r="4">
      <c r="A4" s="252" t="inlineStr">
        <is>
          <t>Наименование разрабатываемого показателя УНЦ — Муфта концевая 6 кВ сечением 400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39" t="inlineStr">
        <is>
          <t>Кол-во единиц по проектным данным</t>
        </is>
      </c>
      <c r="F6" s="257" t="inlineStr">
        <is>
          <t>Сметная стоимость в ценах на 01.01.2000 (руб.)</t>
        </is>
      </c>
      <c r="G6" s="304" t="n"/>
    </row>
    <row r="7">
      <c r="A7" s="306" t="n"/>
      <c r="B7" s="306" t="n"/>
      <c r="C7" s="306" t="n"/>
      <c r="D7" s="306" t="n"/>
      <c r="E7" s="306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>
      <c r="A9" s="25" t="n"/>
      <c r="B9" s="238" t="inlineStr">
        <is>
          <t>ИНЖЕНЕРНОЕ ОБОРУДОВАНИЕ</t>
        </is>
      </c>
      <c r="C9" s="303" t="n"/>
      <c r="D9" s="303" t="n"/>
      <c r="E9" s="303" t="n"/>
      <c r="F9" s="303" t="n"/>
      <c r="G9" s="304" t="n"/>
    </row>
    <row r="10" ht="27" customHeight="1">
      <c r="A10" s="239" t="n"/>
      <c r="B10" s="237" t="n"/>
      <c r="C10" s="238" t="inlineStr">
        <is>
          <t>ИТОГО ИНЖЕНЕРНОЕ ОБОРУДОВАНИЕ</t>
        </is>
      </c>
      <c r="D10" s="237" t="n"/>
      <c r="E10" s="105" t="n"/>
      <c r="F10" s="241" t="n"/>
      <c r="G10" s="241" t="n">
        <v>0</v>
      </c>
    </row>
    <row r="11">
      <c r="A11" s="239" t="n"/>
      <c r="B11" s="238" t="inlineStr">
        <is>
          <t>ТЕХНОЛОГИЧЕСКОЕ ОБОРУДОВАНИЕ</t>
        </is>
      </c>
      <c r="C11" s="303" t="n"/>
      <c r="D11" s="303" t="n"/>
      <c r="E11" s="303" t="n"/>
      <c r="F11" s="303" t="n"/>
      <c r="G11" s="304" t="n"/>
    </row>
    <row r="12" ht="25.5" customHeight="1">
      <c r="A12" s="239" t="n"/>
      <c r="B12" s="238" t="n"/>
      <c r="C12" s="238" t="inlineStr">
        <is>
          <t>ИТОГО ТЕХНОЛОГИЧЕСКОЕ ОБОРУДОВАНИЕ</t>
        </is>
      </c>
      <c r="D12" s="238" t="n"/>
      <c r="E12" s="256" t="n"/>
      <c r="F12" s="241" t="n"/>
      <c r="G12" s="32" t="n">
        <v>0</v>
      </c>
    </row>
    <row r="13" ht="19.5" customHeight="1">
      <c r="A13" s="239" t="n"/>
      <c r="B13" s="238" t="n"/>
      <c r="C13" s="238" t="inlineStr">
        <is>
          <t>Всего по разделу «Оборудование»</t>
        </is>
      </c>
      <c r="D13" s="238" t="n"/>
      <c r="E13" s="256" t="n"/>
      <c r="F13" s="24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8" t="n"/>
      <c r="B1" s="138" t="n"/>
      <c r="C1" s="138" t="n"/>
      <c r="D1" s="138" t="inlineStr">
        <is>
          <t>Приложение №7</t>
        </is>
      </c>
    </row>
    <row r="2" ht="15.75" customHeight="1">
      <c r="A2" s="138" t="n"/>
      <c r="B2" s="138" t="n"/>
      <c r="C2" s="138" t="n"/>
      <c r="D2" s="138" t="n"/>
    </row>
    <row r="3" ht="15.75" customHeight="1">
      <c r="A3" s="138" t="n"/>
      <c r="B3" s="150" t="inlineStr">
        <is>
          <t>Расчет показателя УНЦ</t>
        </is>
      </c>
      <c r="C3" s="138" t="n"/>
      <c r="D3" s="138" t="n"/>
    </row>
    <row r="4" ht="15.75" customHeight="1">
      <c r="A4" s="138" t="n"/>
      <c r="B4" s="138" t="n"/>
      <c r="C4" s="138" t="n"/>
      <c r="D4" s="138" t="n"/>
    </row>
    <row r="5" ht="15.75" customHeight="1">
      <c r="A5" s="258" t="inlineStr">
        <is>
          <t xml:space="preserve">Наименование разрабатываемого показателя УНЦ - </t>
        </is>
      </c>
      <c r="D5" s="258">
        <f>'Прил.5 Расчет СМР и ОБ'!D6:J6</f>
        <v/>
      </c>
    </row>
    <row r="6" ht="15.75" customHeight="1">
      <c r="A6" s="138" t="inlineStr">
        <is>
          <t>Единица измерения  — 1 ед</t>
        </is>
      </c>
      <c r="B6" s="138" t="n"/>
      <c r="C6" s="138" t="n"/>
      <c r="D6" s="138" t="n"/>
    </row>
    <row r="7" ht="15.75" customHeight="1">
      <c r="A7" s="138" t="n"/>
      <c r="B7" s="138" t="n"/>
      <c r="C7" s="138" t="n"/>
      <c r="D7" s="138" t="n"/>
    </row>
    <row r="8">
      <c r="A8" s="224" t="inlineStr">
        <is>
          <t>Код показателя</t>
        </is>
      </c>
      <c r="B8" s="224" t="inlineStr">
        <is>
          <t>Наименование показателя</t>
        </is>
      </c>
      <c r="C8" s="224" t="inlineStr">
        <is>
          <t>Наименование РМ, входящих в состав показателя</t>
        </is>
      </c>
      <c r="D8" s="224" t="inlineStr">
        <is>
          <t>Норматив цены на 01.01.2023, тыс.руб.</t>
        </is>
      </c>
    </row>
    <row r="9">
      <c r="A9" s="306" t="n"/>
      <c r="B9" s="306" t="n"/>
      <c r="C9" s="306" t="n"/>
      <c r="D9" s="306" t="n"/>
    </row>
    <row r="10" ht="15.75" customHeight="1">
      <c r="A10" s="224" t="n">
        <v>1</v>
      </c>
      <c r="B10" s="224" t="n">
        <v>2</v>
      </c>
      <c r="C10" s="224" t="n">
        <v>3</v>
      </c>
      <c r="D10" s="224" t="n">
        <v>4</v>
      </c>
    </row>
    <row r="11" ht="31.5" customHeight="1">
      <c r="A11" s="224" t="inlineStr">
        <is>
          <t>К2-10-1</t>
        </is>
      </c>
      <c r="B11" s="224" t="inlineStr">
        <is>
          <t xml:space="preserve">УНЦ КЛ 6 - 500 кВ (с медной жилой) </t>
        </is>
      </c>
      <c r="C11" s="173">
        <f>D5</f>
        <v/>
      </c>
      <c r="D11" s="17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218" t="inlineStr">
        <is>
          <t>Приложение № 10</t>
        </is>
      </c>
    </row>
    <row r="5" ht="18.75" customHeight="1">
      <c r="B5" s="117" t="n"/>
    </row>
    <row r="6" ht="15.75" customHeight="1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>
      <c r="B9" s="224" t="inlineStr">
        <is>
          <t>Наименование индекса / норм сопутствующих затрат</t>
        </is>
      </c>
      <c r="C9" s="224" t="inlineStr">
        <is>
          <t>Дата применения и обоснование индекса / норм сопутствующих затрат</t>
        </is>
      </c>
      <c r="D9" s="224" t="inlineStr">
        <is>
          <t>Размер индекса / норма сопутствующих затрат</t>
        </is>
      </c>
    </row>
    <row r="10" ht="15.75" customHeight="1">
      <c r="B10" s="224" t="n">
        <v>1</v>
      </c>
      <c r="C10" s="224" t="n">
        <v>2</v>
      </c>
      <c r="D10" s="224" t="n">
        <v>3</v>
      </c>
    </row>
    <row r="11" ht="31.5" customHeight="1">
      <c r="B11" s="224" t="inlineStr">
        <is>
          <t xml:space="preserve">Индекс изменения сметной стоимости на 1 квартал 2023 года. ОЗП </t>
        </is>
      </c>
      <c r="C11" s="224" t="inlineStr">
        <is>
          <t>Письмо Минстроя России от 30.03.2023г. №17106-ИФ/09  прил.1</t>
        </is>
      </c>
      <c r="D11" s="224" t="n">
        <v>44.29</v>
      </c>
    </row>
    <row r="12" ht="31.5" customHeight="1">
      <c r="B12" s="224" t="inlineStr">
        <is>
          <t>Индекс изменения сметной стоимости на 1 квартал 2023 года. ЭМ</t>
        </is>
      </c>
      <c r="C12" s="224" t="inlineStr">
        <is>
          <t>Письмо Минстроя России от 30.03.2023г. №17106-ИФ/09  прил.1</t>
        </is>
      </c>
      <c r="D12" s="224" t="n">
        <v>10.84</v>
      </c>
    </row>
    <row r="13" ht="31.5" customHeight="1">
      <c r="B13" s="224" t="inlineStr">
        <is>
          <t>Индекс изменения сметной стоимости на 1 квартал 2023 года. МАТ</t>
        </is>
      </c>
      <c r="C13" s="224" t="inlineStr">
        <is>
          <t>Письмо Минстроя России от 30.03.2023г. №17106-ИФ/09  прил.1</t>
        </is>
      </c>
      <c r="D13" s="224" t="n">
        <v>5.34</v>
      </c>
    </row>
    <row r="14" ht="31.5" customHeight="1">
      <c r="B14" s="224" t="inlineStr">
        <is>
          <t>Индекс изменения сметной стоимости на 1 квартал 2023 года. ОБ</t>
        </is>
      </c>
      <c r="C14" s="224" t="inlineStr">
        <is>
          <t>Письмо Минстроя России от 23.02.2023г. №9791-ИФ/09 прил.6</t>
        </is>
      </c>
      <c r="D14" s="224" t="n">
        <v>6.26</v>
      </c>
    </row>
    <row r="15" ht="78.75" customHeight="1">
      <c r="B15" s="224" t="inlineStr">
        <is>
          <t>Временные здания и сооружения</t>
        </is>
      </c>
      <c r="C15" s="22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24" t="inlineStr">
        <is>
          <t>Дополнительные затраты при производстве строительно-монтажных работ в зимнее время</t>
        </is>
      </c>
      <c r="C16" s="22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24" t="inlineStr">
        <is>
          <t>Пусконаладочные работы*</t>
        </is>
      </c>
      <c r="C17" s="224" t="n"/>
      <c r="D17" s="224" t="inlineStr">
        <is>
          <t>Расчет</t>
        </is>
      </c>
    </row>
    <row r="18" ht="31.5" customHeight="1">
      <c r="B18" s="224" t="inlineStr">
        <is>
          <t>Строительный контроль</t>
        </is>
      </c>
      <c r="C18" s="224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24" t="inlineStr">
        <is>
          <t>Авторский надзор - 0,2%</t>
        </is>
      </c>
      <c r="C19" s="224" t="inlineStr">
        <is>
          <t>Приказ от 4.08.2020 № 421/пр п.173</t>
        </is>
      </c>
      <c r="D19" s="120" t="n">
        <v>0.002</v>
      </c>
    </row>
    <row r="20" ht="15.75" customHeight="1">
      <c r="B20" s="224" t="inlineStr">
        <is>
          <t>Непредвиденные расходы</t>
        </is>
      </c>
      <c r="C20" s="224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199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1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92" t="inlineStr">
        <is>
          <t>№ пп.</t>
        </is>
      </c>
      <c r="B5" s="192" t="inlineStr">
        <is>
          <t>Наименование элемента</t>
        </is>
      </c>
      <c r="C5" s="192" t="inlineStr">
        <is>
          <t>Обозначение</t>
        </is>
      </c>
      <c r="D5" s="192" t="inlineStr">
        <is>
          <t>Формула</t>
        </is>
      </c>
      <c r="E5" s="192" t="inlineStr">
        <is>
          <t>Величина элемента</t>
        </is>
      </c>
      <c r="F5" s="192" t="inlineStr">
        <is>
          <t>Наименования обосновывающих документов</t>
        </is>
      </c>
      <c r="G5" s="138" t="n"/>
    </row>
    <row r="6" ht="15.75" customHeight="1">
      <c r="A6" s="192" t="n">
        <v>1</v>
      </c>
      <c r="B6" s="192" t="n">
        <v>2</v>
      </c>
      <c r="C6" s="192" t="n">
        <v>3</v>
      </c>
      <c r="D6" s="192" t="n">
        <v>4</v>
      </c>
      <c r="E6" s="192" t="n">
        <v>5</v>
      </c>
      <c r="F6" s="192" t="n">
        <v>6</v>
      </c>
      <c r="G6" s="138" t="n"/>
    </row>
    <row r="7" ht="110.25" customHeight="1">
      <c r="A7" s="193" t="inlineStr">
        <is>
          <t>1.1</t>
        </is>
      </c>
      <c r="B7" s="19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4" t="inlineStr">
        <is>
          <t>С1ср</t>
        </is>
      </c>
      <c r="D7" s="224" t="inlineStr">
        <is>
          <t>-</t>
        </is>
      </c>
      <c r="E7" s="61" t="n">
        <v>47872.94</v>
      </c>
      <c r="F7" s="19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3" t="inlineStr">
        <is>
          <t>1.2</t>
        </is>
      </c>
      <c r="B8" s="194" t="inlineStr">
        <is>
          <t>Среднегодовое нормативное число часов работы одного рабочего в месяц, часы (ч.)</t>
        </is>
      </c>
      <c r="C8" s="224" t="inlineStr">
        <is>
          <t>tср</t>
        </is>
      </c>
      <c r="D8" s="224" t="inlineStr">
        <is>
          <t>1973ч/12мес.</t>
        </is>
      </c>
      <c r="E8" s="172">
        <f>1973/12</f>
        <v/>
      </c>
      <c r="F8" s="194" t="inlineStr">
        <is>
          <t>Производственный календарь 2023 год
(40-часов.неделя)</t>
        </is>
      </c>
      <c r="G8" s="195" t="n"/>
    </row>
    <row r="9" ht="15.75" customHeight="1">
      <c r="A9" s="193" t="inlineStr">
        <is>
          <t>1.3</t>
        </is>
      </c>
      <c r="B9" s="194" t="inlineStr">
        <is>
          <t>Коэффициент увеличения</t>
        </is>
      </c>
      <c r="C9" s="224" t="inlineStr">
        <is>
          <t>Кув</t>
        </is>
      </c>
      <c r="D9" s="224" t="inlineStr">
        <is>
          <t>-</t>
        </is>
      </c>
      <c r="E9" s="172" t="n">
        <v>1</v>
      </c>
      <c r="F9" s="194" t="n"/>
      <c r="G9" s="195" t="n"/>
    </row>
    <row r="10" ht="15.75" customHeight="1">
      <c r="A10" s="193" t="inlineStr">
        <is>
          <t>1.4</t>
        </is>
      </c>
      <c r="B10" s="194" t="inlineStr">
        <is>
          <t>Средний разряд работ</t>
        </is>
      </c>
      <c r="C10" s="224" t="n"/>
      <c r="D10" s="224" t="n"/>
      <c r="E10" s="319" t="n">
        <v>3.8</v>
      </c>
      <c r="F10" s="194" t="inlineStr">
        <is>
          <t>РТМ</t>
        </is>
      </c>
      <c r="G10" s="195" t="n"/>
    </row>
    <row r="11" ht="78.75" customHeight="1">
      <c r="A11" s="193" t="inlineStr">
        <is>
          <t>1.5</t>
        </is>
      </c>
      <c r="B11" s="194" t="inlineStr">
        <is>
          <t>Тарифный коэффициент среднего разряда работ</t>
        </is>
      </c>
      <c r="C11" s="224" t="inlineStr">
        <is>
          <t>КТ</t>
        </is>
      </c>
      <c r="D11" s="224" t="inlineStr">
        <is>
          <t>-</t>
        </is>
      </c>
      <c r="E11" s="320" t="n">
        <v>1.308</v>
      </c>
      <c r="F11" s="1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198" t="inlineStr">
        <is>
          <t>1.6</t>
        </is>
      </c>
      <c r="B12" s="200" t="inlineStr">
        <is>
          <t>Коэффициент инфляции, определяемый поквартально</t>
        </is>
      </c>
      <c r="C12" s="151" t="inlineStr">
        <is>
          <t>Кинф</t>
        </is>
      </c>
      <c r="D12" s="151" t="inlineStr">
        <is>
          <t>-</t>
        </is>
      </c>
      <c r="E12" s="321" t="n">
        <v>1.139</v>
      </c>
      <c r="F12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3" t="inlineStr">
        <is>
          <t>1.7</t>
        </is>
      </c>
      <c r="B13" s="204" t="inlineStr">
        <is>
          <t>Размер средств на оплату труда рабочих-строителей в текущем уровне цен (ФОТр.тек.), руб/чел.-ч</t>
        </is>
      </c>
      <c r="C13" s="205" t="inlineStr">
        <is>
          <t>ФОТр.тек.</t>
        </is>
      </c>
      <c r="D13" s="205" t="inlineStr">
        <is>
          <t>(С1ср/tср*КТ*Т*Кув)*Кинф</t>
        </is>
      </c>
      <c r="E13" s="206">
        <f>((E7*E9/E8)*E11)*E12</f>
        <v/>
      </c>
      <c r="F13" s="2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2025-01-24T12:05:49Z</dcterms:modified>
  <cp:lastModifiedBy>112</cp:lastModifiedBy>
  <cp:lastPrinted>2023-12-01T07:46:55Z</cp:lastPrinted>
</cp:coreProperties>
</file>