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43" fontId="4" fillId="0" borderId="0" pivotButton="0" quotePrefix="0" xfId="0"/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31" min="1" max="2"/>
    <col width="51.7109375" customWidth="1" style="331" min="3" max="3"/>
    <col width="47" customWidth="1" style="331" min="4" max="4"/>
    <col width="37.42578125" customWidth="1" style="331" min="5" max="5"/>
    <col width="9.140625" customWidth="1" style="331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" customHeight="1" s="329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53" t="n"/>
      <c r="C6" s="253" t="n"/>
      <c r="D6" s="253" t="n"/>
    </row>
    <row r="7" ht="64.5" customHeight="1" s="329">
      <c r="B7" s="363" t="inlineStr">
        <is>
          <t>Наименование разрабатываемого показателя УНЦ - КЛ 220 кВ (с медной жилой) сечение жилы 400 мм2</t>
        </is>
      </c>
    </row>
    <row r="8" ht="31.5" customHeight="1" s="329">
      <c r="B8" s="226" t="inlineStr">
        <is>
          <t xml:space="preserve">Сопоставимый уровень цен: </t>
        </is>
      </c>
      <c r="C8" s="226" t="n"/>
      <c r="D8" s="304">
        <f>D22</f>
        <v/>
      </c>
    </row>
    <row r="9" ht="15.75" customHeight="1" s="329">
      <c r="B9" s="363" t="inlineStr">
        <is>
          <t>Единица измерения  — 1 км</t>
        </is>
      </c>
    </row>
    <row r="10">
      <c r="B10" s="363" t="n"/>
      <c r="C10" s="331" t="n"/>
      <c r="D10" s="331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1" t="n"/>
    </row>
    <row r="12" ht="63" customHeight="1" s="329">
      <c r="B12" s="366" t="n">
        <v>1</v>
      </c>
      <c r="C12" s="343" t="inlineStr">
        <is>
          <t>Наименование объекта-представителя</t>
        </is>
      </c>
      <c r="D12" s="36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6" t="n">
        <v>2</v>
      </c>
      <c r="C13" s="343" t="inlineStr">
        <is>
          <t>Наименование субъекта Российской Федерации</t>
        </is>
      </c>
      <c r="D13" s="366" t="inlineStr">
        <is>
          <t>г. Санкт-Петербург</t>
        </is>
      </c>
    </row>
    <row r="14">
      <c r="B14" s="366" t="n">
        <v>3</v>
      </c>
      <c r="C14" s="343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43" t="inlineStr">
        <is>
          <t>Мощность объекта</t>
        </is>
      </c>
      <c r="D15" s="366" t="n">
        <v>1</v>
      </c>
    </row>
    <row r="16" ht="63" customHeight="1" s="329">
      <c r="B16" s="366" t="n">
        <v>5</v>
      </c>
      <c r="C16" s="3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Кабель медный 220кВ 3х400</t>
        </is>
      </c>
    </row>
    <row r="17" ht="63" customHeight="1" s="329">
      <c r="B17" s="366" t="n">
        <v>6</v>
      </c>
      <c r="C17" s="3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D18+D19+D20+D21</f>
        <v/>
      </c>
      <c r="E17" s="252" t="n"/>
    </row>
    <row r="18">
      <c r="B18" s="312" t="inlineStr">
        <is>
          <t>6.1</t>
        </is>
      </c>
      <c r="C18" s="343" t="inlineStr">
        <is>
          <t>строительно-монтажные работы</t>
        </is>
      </c>
      <c r="D18" s="311">
        <f>'Прил.2 Расч стоим'!G13</f>
        <v/>
      </c>
    </row>
    <row r="19">
      <c r="B19" s="312" t="inlineStr">
        <is>
          <t>6.2</t>
        </is>
      </c>
      <c r="C19" s="343" t="inlineStr">
        <is>
          <t>оборудование и инвентарь</t>
        </is>
      </c>
      <c r="D19" s="311" t="n">
        <v>0</v>
      </c>
    </row>
    <row r="20">
      <c r="B20" s="312" t="inlineStr">
        <is>
          <t>6.3</t>
        </is>
      </c>
      <c r="C20" s="343" t="inlineStr">
        <is>
          <t>пусконаладочные работы</t>
        </is>
      </c>
      <c r="D20" s="311" t="n">
        <v>0</v>
      </c>
    </row>
    <row r="21">
      <c r="B21" s="312" t="inlineStr">
        <is>
          <t>6.4</t>
        </is>
      </c>
      <c r="C21" s="313" t="inlineStr">
        <is>
          <t>прочие и лимитированные затраты</t>
        </is>
      </c>
      <c r="D21" s="311">
        <f>D18*0.039+(D18*0.039+D18)*0.021</f>
        <v/>
      </c>
    </row>
    <row r="22">
      <c r="B22" s="366" t="n">
        <v>7</v>
      </c>
      <c r="C22" s="313" t="inlineStr">
        <is>
          <t>Сопоставимый уровень цен</t>
        </is>
      </c>
      <c r="D22" s="314" t="inlineStr">
        <is>
          <t>2 кв. 2018 г.</t>
        </is>
      </c>
      <c r="E22" s="230" t="n"/>
    </row>
    <row r="23" ht="78.75" customHeight="1" s="329">
      <c r="B23" s="366" t="n">
        <v>8</v>
      </c>
      <c r="C23" s="31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2" t="n"/>
    </row>
    <row r="24" ht="31.5" customHeight="1" s="329">
      <c r="B24" s="366" t="n">
        <v>9</v>
      </c>
      <c r="C24" s="309" t="inlineStr">
        <is>
          <t>Приведенная сметная стоимость на единицу мощности, тыс. руб. (строка 8/строку 4)</t>
        </is>
      </c>
      <c r="D24" s="311">
        <f>D23/D15</f>
        <v/>
      </c>
      <c r="E24" s="230" t="n"/>
    </row>
    <row r="25">
      <c r="B25" s="366" t="n">
        <v>10</v>
      </c>
      <c r="C25" s="343" t="inlineStr">
        <is>
          <t>Примечание</t>
        </is>
      </c>
      <c r="D25" s="366" t="n"/>
    </row>
    <row r="26">
      <c r="B26" s="228" t="n"/>
      <c r="C26" s="227" t="n"/>
      <c r="D26" s="227" t="n"/>
    </row>
    <row r="27" ht="37.5" customHeight="1" s="329">
      <c r="B27" s="226" t="n"/>
    </row>
    <row r="28">
      <c r="B28" s="33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3" zoomScaleNormal="70" workbookViewId="0">
      <selection activeCell="E20" sqref="E20"/>
    </sheetView>
  </sheetViews>
  <sheetFormatPr baseColWidth="8" defaultColWidth="9.140625" defaultRowHeight="15.75"/>
  <cols>
    <col width="5.5703125" customWidth="1" style="331" min="1" max="1"/>
    <col width="9.140625" customWidth="1" style="331" min="2" max="2"/>
    <col width="35.28515625" customWidth="1" style="331" min="3" max="3"/>
    <col width="13.85546875" customWidth="1" style="331" min="4" max="4"/>
    <col width="24.85546875" customWidth="1" style="331" min="5" max="5"/>
    <col width="15.5703125" customWidth="1" style="331" min="6" max="6"/>
    <col width="14.85546875" customWidth="1" style="331" min="7" max="7"/>
    <col width="16.7109375" customWidth="1" style="331" min="8" max="8"/>
    <col width="13" customWidth="1" style="331" min="9" max="10"/>
    <col width="18" customWidth="1" style="331" min="11" max="11"/>
    <col width="13.140625" customWidth="1" style="331" min="12" max="12"/>
  </cols>
  <sheetData>
    <row r="3">
      <c r="B3" s="361" t="inlineStr">
        <is>
          <t>Приложение № 2</t>
        </is>
      </c>
      <c r="K3" s="226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29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29">
      <c r="B8" s="254" t="n"/>
    </row>
    <row r="9" ht="15.75" customHeight="1" s="329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9">
      <c r="B10" s="446" t="n"/>
      <c r="C10" s="446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</row>
    <row r="11" ht="31.5" customHeight="1" s="329">
      <c r="B11" s="447" t="n"/>
      <c r="C11" s="447" t="n"/>
      <c r="D11" s="447" t="n"/>
      <c r="E11" s="447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>
      <c r="B12" s="320" t="n">
        <v>1</v>
      </c>
      <c r="C12" s="348">
        <f>'Прил.1 Сравнит табл'!D16</f>
        <v/>
      </c>
      <c r="D12" s="322" t="inlineStr">
        <is>
          <t>02-08-01</t>
        </is>
      </c>
      <c r="E12" s="343" t="inlineStr">
        <is>
          <t>Заходы КЛ 220 кВ</t>
        </is>
      </c>
      <c r="F12" s="324" t="n"/>
      <c r="G12" s="324" t="n">
        <v>29678.6539904</v>
      </c>
      <c r="H12" s="324" t="n"/>
      <c r="I12" s="324" t="n"/>
      <c r="J12" s="325">
        <f>SUM(F12:I12)</f>
        <v/>
      </c>
      <c r="K12" s="328" t="n"/>
      <c r="L12" s="328" t="n"/>
    </row>
    <row r="13" ht="15" customHeight="1" s="329">
      <c r="B13" s="365" t="inlineStr">
        <is>
          <t>Всего по объекту:</t>
        </is>
      </c>
      <c r="C13" s="444" t="n"/>
      <c r="D13" s="444" t="n"/>
      <c r="E13" s="445" t="n"/>
      <c r="F13" s="327">
        <f>SUM(F12:F12)</f>
        <v/>
      </c>
      <c r="G13" s="327">
        <f>SUM(G12:G12)</f>
        <v/>
      </c>
      <c r="H13" s="327">
        <f>SUM(H12:H12)</f>
        <v/>
      </c>
      <c r="I13" s="327" t="n"/>
      <c r="J13" s="327">
        <f>SUM(F13:I13)</f>
        <v/>
      </c>
      <c r="K13" s="328" t="n"/>
      <c r="L13" s="328" t="n"/>
    </row>
    <row r="14" ht="15.75" customHeight="1" s="329">
      <c r="B14" s="365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7">
        <f>F13</f>
        <v/>
      </c>
      <c r="G14" s="327">
        <f>G13</f>
        <v/>
      </c>
      <c r="H14" s="327">
        <f>H13</f>
        <v/>
      </c>
      <c r="I14" s="327">
        <f>'Прил.1 Сравнит табл'!D21</f>
        <v/>
      </c>
      <c r="J14" s="327">
        <f>SUM(F14:I14)</f>
        <v/>
      </c>
      <c r="L14" s="328" t="n"/>
    </row>
    <row r="15" ht="15" customHeight="1" s="329"/>
    <row r="16" ht="15" customHeight="1" s="329"/>
    <row r="17" ht="15" customHeight="1" s="329"/>
    <row r="18" ht="15" customHeight="1" s="329">
      <c r="C18" s="300" t="inlineStr">
        <is>
          <t>Составил ______________________     А.Р. Маркова</t>
        </is>
      </c>
      <c r="D18" s="301" t="n"/>
      <c r="E18" s="301" t="n"/>
    </row>
    <row r="19" ht="15" customHeight="1" s="329">
      <c r="C19" s="303" t="inlineStr">
        <is>
          <t xml:space="preserve">                         (подпись, инициалы, фамилия)</t>
        </is>
      </c>
      <c r="D19" s="301" t="n"/>
      <c r="E19" s="301" t="n"/>
    </row>
    <row r="20" ht="15" customHeight="1" s="329">
      <c r="C20" s="300" t="n"/>
      <c r="D20" s="301" t="n"/>
      <c r="E20" s="301" t="n"/>
    </row>
    <row r="21" ht="15" customHeight="1" s="329">
      <c r="C21" s="300" t="inlineStr">
        <is>
          <t>Проверил ______________________        А.В. Костянецкая</t>
        </is>
      </c>
      <c r="D21" s="301" t="n"/>
      <c r="E21" s="301" t="n"/>
    </row>
    <row r="22" ht="15" customHeight="1" s="329">
      <c r="C22" s="303" t="inlineStr">
        <is>
          <t xml:space="preserve">                        (подпись, инициалы, фамилия)</t>
        </is>
      </c>
      <c r="D22" s="301" t="n"/>
      <c r="E22" s="301" t="n"/>
    </row>
    <row r="23" ht="15" customHeight="1" s="329"/>
    <row r="24" ht="15" customHeight="1" s="329"/>
    <row r="25" ht="15" customHeight="1" s="329"/>
    <row r="26" ht="15" customHeight="1" s="329"/>
    <row r="27" ht="15" customHeight="1" s="329"/>
    <row r="28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85" zoomScaleSheetLayoutView="85" workbookViewId="0">
      <selection activeCell="F32" sqref="F32"/>
    </sheetView>
  </sheetViews>
  <sheetFormatPr baseColWidth="8" defaultColWidth="9.140625" defaultRowHeight="15.75"/>
  <cols>
    <col width="9.140625" customWidth="1" style="331" min="1" max="1"/>
    <col width="12.5703125" customWidth="1" style="331" min="2" max="2"/>
    <col width="22.42578125" customWidth="1" style="331" min="3" max="3"/>
    <col width="49.7109375" customWidth="1" style="331" min="4" max="4"/>
    <col width="10.140625" customWidth="1" style="331" min="5" max="5"/>
    <col width="20.7109375" customWidth="1" style="331" min="6" max="6"/>
    <col width="20" customWidth="1" style="331" min="7" max="7"/>
    <col width="16.7109375" customWidth="1" style="331" min="8" max="8"/>
    <col width="9.140625" customWidth="1" style="331" min="9" max="10"/>
    <col width="15" customWidth="1" style="331" min="11" max="11"/>
    <col width="9.140625" customWidth="1" style="331" min="12" max="12"/>
  </cols>
  <sheetData>
    <row r="2" s="329">
      <c r="A2" s="331" t="n"/>
      <c r="B2" s="331" t="n"/>
      <c r="C2" s="331" t="n"/>
      <c r="D2" s="331" t="n"/>
      <c r="E2" s="331" t="n"/>
      <c r="F2" s="331" t="n"/>
      <c r="G2" s="331" t="n"/>
      <c r="H2" s="331" t="n"/>
      <c r="I2" s="331" t="n"/>
      <c r="J2" s="331" t="n"/>
      <c r="K2" s="331" t="n"/>
      <c r="L2" s="331" t="n"/>
    </row>
    <row r="3">
      <c r="A3" s="361" t="inlineStr">
        <is>
          <t xml:space="preserve">Приложение № 3 </t>
        </is>
      </c>
    </row>
    <row r="4">
      <c r="A4" s="362" t="inlineStr">
        <is>
          <t>Объектная ресурсная ведомость</t>
        </is>
      </c>
    </row>
    <row r="5" ht="18.75" customHeight="1" s="329">
      <c r="A5" s="262" t="n"/>
      <c r="B5" s="262" t="n"/>
      <c r="C5" s="368" t="n"/>
    </row>
    <row r="6">
      <c r="A6" s="363" t="n"/>
    </row>
    <row r="7">
      <c r="A7" s="367" t="inlineStr">
        <is>
          <t>Наименование разрабатываемого показателя УНЦ -  КЛ 220 кВ (с медной жилой) сечение жилы 400 мм2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9">
      <c r="A9" s="366" t="inlineStr">
        <is>
          <t>п/п</t>
        </is>
      </c>
      <c r="B9" s="366" t="inlineStr">
        <is>
          <t>№ЛСР</t>
        </is>
      </c>
      <c r="C9" s="366" t="inlineStr">
        <is>
          <t>Код ресурса</t>
        </is>
      </c>
      <c r="D9" s="366" t="inlineStr">
        <is>
          <t>Наименование ресурса</t>
        </is>
      </c>
      <c r="E9" s="366" t="inlineStr">
        <is>
          <t>Ед. изм.</t>
        </is>
      </c>
      <c r="F9" s="366" t="inlineStr">
        <is>
          <t>Кол-во единиц по данным объекта-представителя</t>
        </is>
      </c>
      <c r="G9" s="366" t="inlineStr">
        <is>
          <t>Сметная стоимость в ценах на 01.01.2000 (руб.)</t>
        </is>
      </c>
      <c r="H9" s="445" t="n"/>
    </row>
    <row r="10" ht="40.5" customHeight="1" s="329">
      <c r="A10" s="447" t="n"/>
      <c r="B10" s="447" t="n"/>
      <c r="C10" s="447" t="n"/>
      <c r="D10" s="447" t="n"/>
      <c r="E10" s="447" t="n"/>
      <c r="F10" s="447" t="n"/>
      <c r="G10" s="366" t="inlineStr">
        <is>
          <t>на ед.изм.</t>
        </is>
      </c>
      <c r="H10" s="366" t="inlineStr">
        <is>
          <t>общая</t>
        </is>
      </c>
    </row>
    <row r="11">
      <c r="A11" s="348" t="n">
        <v>1</v>
      </c>
      <c r="B11" s="348" t="n"/>
      <c r="C11" s="348" t="n">
        <v>2</v>
      </c>
      <c r="D11" s="348" t="inlineStr">
        <is>
          <t>З</t>
        </is>
      </c>
      <c r="E11" s="348" t="n">
        <v>4</v>
      </c>
      <c r="F11" s="348" t="n">
        <v>5</v>
      </c>
      <c r="G11" s="348" t="n">
        <v>6</v>
      </c>
      <c r="H11" s="348" t="n">
        <v>7</v>
      </c>
    </row>
    <row r="12" customFormat="1" s="294">
      <c r="A12" s="370" t="inlineStr">
        <is>
          <t>Затраты труда рабочих</t>
        </is>
      </c>
      <c r="B12" s="444" t="n"/>
      <c r="C12" s="444" t="n"/>
      <c r="D12" s="444" t="n"/>
      <c r="E12" s="445" t="n"/>
      <c r="F12" s="448">
        <f>SUM(F13:F13)</f>
        <v/>
      </c>
      <c r="G12" s="259" t="n"/>
      <c r="H12" s="449">
        <f>SUM(H13:H13)</f>
        <v/>
      </c>
    </row>
    <row r="13">
      <c r="A13" s="398" t="n">
        <v>1</v>
      </c>
      <c r="B13" s="238" t="n"/>
      <c r="C13" s="266" t="inlineStr">
        <is>
          <t>1-4-0</t>
        </is>
      </c>
      <c r="D13" s="270" t="inlineStr">
        <is>
          <t>Затраты труда рабочих (средний разряд работы 4)</t>
        </is>
      </c>
      <c r="E13" s="398" t="inlineStr">
        <is>
          <t>чел.-ч</t>
        </is>
      </c>
      <c r="F13" s="380" t="n">
        <v>1028.5</v>
      </c>
      <c r="G13" s="450" t="n">
        <v>9.619999999999999</v>
      </c>
      <c r="H13" s="318">
        <f>ROUND(F13*G13,2)</f>
        <v/>
      </c>
      <c r="M13" s="451" t="n"/>
    </row>
    <row r="14">
      <c r="A14" s="369" t="inlineStr">
        <is>
          <t>Затраты труда машинистов</t>
        </is>
      </c>
      <c r="B14" s="444" t="n"/>
      <c r="C14" s="444" t="n"/>
      <c r="D14" s="444" t="n"/>
      <c r="E14" s="445" t="n"/>
      <c r="F14" s="370" t="n"/>
      <c r="G14" s="236" t="n"/>
      <c r="H14" s="449">
        <f>H15</f>
        <v/>
      </c>
    </row>
    <row r="15">
      <c r="A15" s="398" t="n">
        <v>2</v>
      </c>
      <c r="B15" s="371" t="n"/>
      <c r="C15" s="269" t="n">
        <v>2</v>
      </c>
      <c r="D15" s="270" t="inlineStr">
        <is>
          <t>Затраты труда машинистов</t>
        </is>
      </c>
      <c r="E15" s="398" t="inlineStr">
        <is>
          <t>чел.-ч</t>
        </is>
      </c>
      <c r="F15" s="398" t="n">
        <v>75.5</v>
      </c>
      <c r="G15" s="255" t="n"/>
      <c r="H15" s="452" t="n">
        <v>887.7</v>
      </c>
    </row>
    <row r="16" customFormat="1" s="294">
      <c r="A16" s="370" t="inlineStr">
        <is>
          <t>Машины и механизмы</t>
        </is>
      </c>
      <c r="B16" s="444" t="n"/>
      <c r="C16" s="444" t="n"/>
      <c r="D16" s="444" t="n"/>
      <c r="E16" s="445" t="n"/>
      <c r="F16" s="370" t="n"/>
      <c r="G16" s="236" t="n"/>
      <c r="H16" s="449">
        <f>SUM(H17:H26)</f>
        <v/>
      </c>
    </row>
    <row r="17" ht="25.5" customHeight="1" s="329">
      <c r="A17" s="398" t="n">
        <v>3</v>
      </c>
      <c r="B17" s="371" t="n"/>
      <c r="C17" s="269" t="inlineStr">
        <is>
          <t>91.05.05-018</t>
        </is>
      </c>
      <c r="D17" s="270" t="inlineStr">
        <is>
          <t>Краны на автомобильном ходу, грузоподъемность 63 т</t>
        </is>
      </c>
      <c r="E17" s="398" t="inlineStr">
        <is>
          <t>маш.час</t>
        </is>
      </c>
      <c r="F17" s="398" t="n">
        <v>14.5</v>
      </c>
      <c r="G17" s="272" t="n">
        <v>823.23</v>
      </c>
      <c r="H17" s="318">
        <f>ROUND(F17*G17,2)</f>
        <v/>
      </c>
      <c r="I17" s="286" t="n"/>
      <c r="J17" s="286" t="n"/>
      <c r="L17" s="286" t="n"/>
    </row>
    <row r="18" ht="25.5" customFormat="1" customHeight="1" s="294">
      <c r="A18" s="398" t="n">
        <v>4</v>
      </c>
      <c r="B18" s="371" t="n"/>
      <c r="C18" s="269" t="inlineStr">
        <is>
          <t>91.06.03-012</t>
        </is>
      </c>
      <c r="D18" s="270" t="inlineStr">
        <is>
          <t>Лебедки-прицепы гидравлические для протяжки кабеля, тяговое усилие 10 т</t>
        </is>
      </c>
      <c r="E18" s="398" t="inlineStr">
        <is>
          <t>маш.час</t>
        </is>
      </c>
      <c r="F18" s="398" t="n">
        <v>25</v>
      </c>
      <c r="G18" s="272" t="n">
        <v>244.95</v>
      </c>
      <c r="H18" s="318">
        <f>ROUND(F18*G18,2)</f>
        <v/>
      </c>
      <c r="I18" s="286" t="n"/>
      <c r="J18" s="286" t="n"/>
      <c r="K18" s="287" t="n"/>
      <c r="L18" s="286" t="n"/>
    </row>
    <row r="19">
      <c r="A19" s="398" t="n">
        <v>5</v>
      </c>
      <c r="B19" s="371" t="n"/>
      <c r="C19" s="269" t="inlineStr">
        <is>
          <t>91.14.04-003</t>
        </is>
      </c>
      <c r="D19" s="270" t="inlineStr">
        <is>
          <t>Тягачи седельные, грузоподъемность 30 т</t>
        </is>
      </c>
      <c r="E19" s="398" t="inlineStr">
        <is>
          <t>маш.час</t>
        </is>
      </c>
      <c r="F19" s="398" t="n">
        <v>12</v>
      </c>
      <c r="G19" s="272" t="n">
        <v>120.31</v>
      </c>
      <c r="H19" s="318">
        <f>ROUND(F19*G19,2)</f>
        <v/>
      </c>
      <c r="I19" s="286" t="n"/>
      <c r="J19" s="286" t="n"/>
      <c r="L19" s="286" t="n"/>
    </row>
    <row r="20" ht="25.5" customHeight="1" s="329">
      <c r="A20" s="398" t="n">
        <v>6</v>
      </c>
      <c r="B20" s="371" t="n"/>
      <c r="C20" s="269" t="inlineStr">
        <is>
          <t>91.05.13-001</t>
        </is>
      </c>
      <c r="D20" s="270" t="inlineStr">
        <is>
          <t>Автомобили бортовые, грузоподъемность до 6 т, с краном-манипулятором-4,0 т</t>
        </is>
      </c>
      <c r="E20" s="398" t="inlineStr">
        <is>
          <t>маш.час</t>
        </is>
      </c>
      <c r="F20" s="398" t="n">
        <v>1.5</v>
      </c>
      <c r="G20" s="272" t="n">
        <v>288.03</v>
      </c>
      <c r="H20" s="318">
        <f>ROUND(F20*G20,2)</f>
        <v/>
      </c>
      <c r="I20" s="286" t="n"/>
      <c r="J20" s="286" t="n"/>
      <c r="L20" s="286" t="n"/>
    </row>
    <row r="21" ht="25.5" customHeight="1" s="329">
      <c r="A21" s="398" t="n">
        <v>7</v>
      </c>
      <c r="B21" s="371" t="n"/>
      <c r="C21" s="269" t="inlineStr">
        <is>
          <t>91.11.01-021</t>
        </is>
      </c>
      <c r="D21" s="270" t="inlineStr">
        <is>
          <t>Устройства подталкивающие для протяжки кабеля, тяговое усилие 800 кг</t>
        </is>
      </c>
      <c r="E21" s="398" t="inlineStr">
        <is>
          <t>маш.час</t>
        </is>
      </c>
      <c r="F21" s="398" t="n">
        <v>16.8</v>
      </c>
      <c r="G21" s="272" t="n">
        <v>25.37</v>
      </c>
      <c r="H21" s="318">
        <f>ROUND(F21*G21,2)</f>
        <v/>
      </c>
      <c r="I21" s="286" t="n"/>
      <c r="J21" s="286" t="n"/>
      <c r="L21" s="286" t="n"/>
    </row>
    <row r="22">
      <c r="A22" s="398" t="n">
        <v>8</v>
      </c>
      <c r="B22" s="371" t="n"/>
      <c r="C22" s="269" t="inlineStr">
        <is>
          <t>91.14.05-002</t>
        </is>
      </c>
      <c r="D22" s="270" t="inlineStr">
        <is>
          <t>Полуприцепы-тяжеловозы, грузоподъемность 40 т</t>
        </is>
      </c>
      <c r="E22" s="398" t="inlineStr">
        <is>
          <t>маш.час</t>
        </is>
      </c>
      <c r="F22" s="398" t="n">
        <v>12</v>
      </c>
      <c r="G22" s="272" t="n">
        <v>28.65</v>
      </c>
      <c r="H22" s="318">
        <f>ROUND(F22*G22,2)</f>
        <v/>
      </c>
      <c r="I22" s="286" t="n"/>
      <c r="J22" s="286" t="n"/>
      <c r="L22" s="286" t="n"/>
    </row>
    <row r="23">
      <c r="A23" s="398" t="n">
        <v>9</v>
      </c>
      <c r="B23" s="371" t="n"/>
      <c r="C23" s="269" t="inlineStr">
        <is>
          <t>91.16.01-002</t>
        </is>
      </c>
      <c r="D23" s="270" t="inlineStr">
        <is>
          <t>Электростанции передвижные, мощность 4 кВт</t>
        </is>
      </c>
      <c r="E23" s="398" t="inlineStr">
        <is>
          <t>маш.час</t>
        </is>
      </c>
      <c r="F23" s="398" t="n">
        <v>8</v>
      </c>
      <c r="G23" s="272" t="n">
        <v>27.11</v>
      </c>
      <c r="H23" s="318">
        <f>ROUND(F23*G23,2)</f>
        <v/>
      </c>
      <c r="I23" s="286" t="n"/>
      <c r="J23" s="286" t="n"/>
    </row>
    <row r="24">
      <c r="A24" s="398" t="n">
        <v>10</v>
      </c>
      <c r="B24" s="371" t="n"/>
      <c r="C24" s="269" t="inlineStr">
        <is>
          <t>91.17.04-091</t>
        </is>
      </c>
      <c r="D24" s="270" t="inlineStr">
        <is>
          <t>Горелки газовые инжекторные</t>
        </is>
      </c>
      <c r="E24" s="398" t="inlineStr">
        <is>
          <t>маш.час</t>
        </is>
      </c>
      <c r="F24" s="398" t="n">
        <v>8</v>
      </c>
      <c r="G24" s="272" t="n">
        <v>13.5</v>
      </c>
      <c r="H24" s="318">
        <f>ROUND(F24*G24,2)</f>
        <v/>
      </c>
      <c r="J24" s="286" t="n"/>
    </row>
    <row r="25">
      <c r="A25" s="398" t="n">
        <v>11</v>
      </c>
      <c r="B25" s="371" t="n"/>
      <c r="C25" s="269" t="inlineStr">
        <is>
          <t>91.21.15-022</t>
        </is>
      </c>
      <c r="D25" s="270" t="inlineStr">
        <is>
          <t>Пилы ленточные с поворотной пилорамой</t>
        </is>
      </c>
      <c r="E25" s="398" t="inlineStr">
        <is>
          <t>маш.час</t>
        </is>
      </c>
      <c r="F25" s="398" t="n">
        <v>8</v>
      </c>
      <c r="G25" s="272" t="n">
        <v>3.31</v>
      </c>
      <c r="H25" s="318">
        <f>ROUND(F25*G25,2)</f>
        <v/>
      </c>
      <c r="J25" s="286" t="n"/>
    </row>
    <row r="26">
      <c r="A26" s="398" t="n">
        <v>12</v>
      </c>
      <c r="B26" s="371" t="n"/>
      <c r="C26" s="269" t="inlineStr">
        <is>
          <t>91.06.01-002</t>
        </is>
      </c>
      <c r="D26" s="270" t="inlineStr">
        <is>
          <t>Домкраты гидравлические, грузоподъемность 6,3-25 т</t>
        </is>
      </c>
      <c r="E26" s="398" t="inlineStr">
        <is>
          <t>маш.час</t>
        </is>
      </c>
      <c r="F26" s="398" t="n">
        <v>40.8</v>
      </c>
      <c r="G26" s="272" t="n">
        <v>0.48</v>
      </c>
      <c r="H26" s="318">
        <f>ROUND(F26*G26,2)</f>
        <v/>
      </c>
      <c r="J26" s="286" t="n"/>
    </row>
    <row r="27">
      <c r="A27" s="370" t="inlineStr">
        <is>
          <t>Материалы</t>
        </is>
      </c>
      <c r="B27" s="444" t="n"/>
      <c r="C27" s="444" t="n"/>
      <c r="D27" s="444" t="n"/>
      <c r="E27" s="445" t="n"/>
      <c r="F27" s="370" t="n"/>
      <c r="G27" s="236" t="n"/>
      <c r="H27" s="449">
        <f>SUM(H28:H29)</f>
        <v/>
      </c>
    </row>
    <row r="28">
      <c r="A28" s="279" t="n">
        <v>13</v>
      </c>
      <c r="B28" s="279" t="n"/>
      <c r="C28" s="398" t="inlineStr">
        <is>
          <t>Прайс из СД ОП</t>
        </is>
      </c>
      <c r="D28" s="276" t="inlineStr">
        <is>
          <t>Кабель медный 220кВ 3х400</t>
        </is>
      </c>
      <c r="E28" s="398" t="inlineStr">
        <is>
          <t>км</t>
        </is>
      </c>
      <c r="F28" s="398" t="n">
        <v>3.3</v>
      </c>
      <c r="G28" s="276" t="n">
        <v>1609153.75</v>
      </c>
      <c r="H28" s="318">
        <f>ROUND(F28*G28,2)</f>
        <v/>
      </c>
    </row>
    <row r="29">
      <c r="A29" s="279" t="n">
        <v>14</v>
      </c>
      <c r="B29" s="371" t="n"/>
      <c r="C29" s="269" t="inlineStr">
        <is>
          <t>01.3.02.09-0022</t>
        </is>
      </c>
      <c r="D29" s="270" t="inlineStr">
        <is>
          <t>Пропан-бутан смесь техническая</t>
        </is>
      </c>
      <c r="E29" s="398" t="inlineStr">
        <is>
          <t>кг</t>
        </is>
      </c>
      <c r="F29" s="398" t="n">
        <v>3.56</v>
      </c>
      <c r="G29" s="255" t="n">
        <v>6.09</v>
      </c>
      <c r="H29" s="318">
        <f>ROUND(F29*G29,2)</f>
        <v/>
      </c>
      <c r="I29" s="288" t="n"/>
      <c r="J29" s="286" t="n"/>
      <c r="K29" s="286" t="n"/>
    </row>
    <row r="32">
      <c r="B32" s="331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31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329" min="1" max="1"/>
    <col width="36.28515625" customWidth="1" style="329" min="2" max="2"/>
    <col width="18.85546875" customWidth="1" style="329" min="3" max="3"/>
    <col width="18.28515625" customWidth="1" style="329" min="4" max="4"/>
    <col width="18.85546875" customWidth="1" style="329" min="5" max="5"/>
    <col width="11.42578125" customWidth="1" style="329" min="6" max="6"/>
    <col width="9.140625" customWidth="1" style="329" min="7" max="10"/>
    <col width="13.5703125" customWidth="1" style="329" min="11" max="11"/>
    <col width="9.140625" customWidth="1" style="329" min="12" max="12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93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51" t="inlineStr">
        <is>
          <t>Ресурсная модель</t>
        </is>
      </c>
    </row>
    <row r="6">
      <c r="B6" s="249" t="n"/>
      <c r="C6" s="300" t="n"/>
      <c r="D6" s="300" t="n"/>
      <c r="E6" s="300" t="n"/>
    </row>
    <row r="7" ht="25.5" customHeight="1" s="329">
      <c r="B7" s="360" t="inlineStr">
        <is>
          <t>Наименование разрабатываемого показателя УНЦ — КЛ 220 кВ (с медной жилой) сечение жилы 400 мм2</t>
        </is>
      </c>
    </row>
    <row r="8">
      <c r="B8" s="373" t="inlineStr">
        <is>
          <t>Единица измерения  — 1 км</t>
        </is>
      </c>
    </row>
    <row r="9">
      <c r="B9" s="249" t="n"/>
      <c r="C9" s="300" t="n"/>
      <c r="D9" s="300" t="n"/>
      <c r="E9" s="300" t="n"/>
    </row>
    <row r="10" ht="51" customHeight="1" s="329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ОБ'!J30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ОБ'!J41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ОБ'!J43</f>
        <v/>
      </c>
      <c r="D17" s="244">
        <f>C17/$C$24</f>
        <v/>
      </c>
      <c r="E17" s="244">
        <f>C17/$C$40</f>
        <v/>
      </c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ОБ'!D47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ОБ'!D46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29">
      <c r="B25" s="242" t="inlineStr">
        <is>
          <t>ВСЕГО стоимость оборудования, в том числе</t>
        </is>
      </c>
      <c r="C25" s="243">
        <f>'Прил.5 Расчет СМР и ОБ'!J36</f>
        <v/>
      </c>
      <c r="D25" s="244" t="n"/>
      <c r="E25" s="244">
        <f>C25/$C$40</f>
        <v/>
      </c>
    </row>
    <row r="26" ht="25.5" customHeight="1" s="329">
      <c r="B26" s="242" t="inlineStr">
        <is>
          <t>стоимость оборудования технологического</t>
        </is>
      </c>
      <c r="C26" s="243">
        <f>'Прил.5 Расчет СМР и ОБ'!J37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29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29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29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74" t="n">
        <v>0</v>
      </c>
      <c r="D31" s="242" t="n"/>
      <c r="E31" s="244">
        <f>C31/$C$40</f>
        <v/>
      </c>
    </row>
    <row r="32" ht="25.5" customHeight="1" s="329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29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29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G34" s="288" t="n"/>
    </row>
    <row r="35" ht="76.5" customHeight="1" s="329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29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K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K37" s="245" t="n"/>
    </row>
    <row r="38" ht="38.25" customHeight="1" s="329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29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ОБ'!E50</f>
        <v/>
      </c>
      <c r="D41" s="242" t="n"/>
      <c r="E41" s="242" t="n"/>
    </row>
    <row r="42">
      <c r="B42" s="241" t="n"/>
      <c r="C42" s="300" t="n"/>
      <c r="D42" s="300" t="n"/>
      <c r="E42" s="300" t="n"/>
    </row>
    <row r="43">
      <c r="B43" s="241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241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241" t="n"/>
      <c r="C45" s="300" t="n"/>
      <c r="D45" s="300" t="n"/>
      <c r="E45" s="300" t="n"/>
    </row>
    <row r="46">
      <c r="B46" s="241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73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SheetLayoutView="100" workbookViewId="0">
      <selection activeCell="N19" sqref="N19:N20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4.7109375" customWidth="1" style="301" min="11" max="11"/>
    <col width="9.140625" customWidth="1" style="301" min="12" max="12"/>
    <col width="9.140625" customWidth="1" style="329" min="13" max="13"/>
  </cols>
  <sheetData>
    <row r="1" s="329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29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29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300">
      <c r="A4" s="351" t="inlineStr">
        <is>
          <t>Расчет стоимости СМР и оборудования</t>
        </is>
      </c>
    </row>
    <row r="5" ht="12.75" customFormat="1" customHeight="1" s="300">
      <c r="A5" s="351" t="n"/>
      <c r="B5" s="351" t="n"/>
      <c r="C5" s="401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00">
      <c r="A6" s="213" t="inlineStr">
        <is>
          <t>Наименование разрабатываемого показателя УНЦ</t>
        </is>
      </c>
      <c r="B6" s="212" t="n"/>
      <c r="C6" s="212" t="n"/>
      <c r="D6" s="392" t="inlineStr">
        <is>
          <t>КЛ 220 кВ (с медной жилой) сечение жилы 400 мм2</t>
        </is>
      </c>
    </row>
    <row r="7" ht="12.75" customFormat="1" customHeight="1" s="300">
      <c r="A7" s="354" t="inlineStr">
        <is>
          <t>Единица измерения  — 1 км</t>
        </is>
      </c>
      <c r="I7" s="360" t="n"/>
      <c r="J7" s="360" t="n"/>
    </row>
    <row r="8" ht="13.5" customFormat="1" customHeight="1" s="300">
      <c r="A8" s="354" t="n"/>
    </row>
    <row r="9" ht="27" customHeight="1" s="329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29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29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9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00" t="n"/>
      <c r="J12" s="200" t="n"/>
    </row>
    <row r="13" ht="25.5" customHeight="1" s="329">
      <c r="A13" s="380" t="n">
        <v>1</v>
      </c>
      <c r="B13" s="266" t="inlineStr">
        <is>
          <t>1-4-0</t>
        </is>
      </c>
      <c r="C13" s="379" t="inlineStr">
        <is>
          <t>Затраты труда рабочих-строителей среднего разряда (4,0)</t>
        </is>
      </c>
      <c r="D13" s="380" t="inlineStr">
        <is>
          <t>чел.-ч.</t>
        </is>
      </c>
      <c r="E13" s="453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  <c r="K13" s="454" t="n"/>
    </row>
    <row r="14" ht="25.5" customFormat="1" customHeight="1" s="301">
      <c r="A14" s="380" t="n"/>
      <c r="B14" s="380" t="n"/>
      <c r="C14" s="369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53">
        <f>SUM(E13:E13)</f>
        <v/>
      </c>
      <c r="F14" s="207" t="n"/>
      <c r="G14" s="207">
        <f>SUM(G13:G13)</f>
        <v/>
      </c>
      <c r="H14" s="383" t="n">
        <v>1</v>
      </c>
      <c r="I14" s="200" t="n"/>
      <c r="J14" s="207">
        <f>SUM(J13:J13)</f>
        <v/>
      </c>
    </row>
    <row r="15" ht="14.25" customFormat="1" customHeight="1" s="301">
      <c r="A15" s="380" t="n"/>
      <c r="B15" s="379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00" t="n"/>
      <c r="J15" s="200" t="n"/>
    </row>
    <row r="16" ht="14.25" customFormat="1" customHeight="1" s="301">
      <c r="A16" s="380" t="n">
        <v>2</v>
      </c>
      <c r="B16" s="380" t="n">
        <v>2</v>
      </c>
      <c r="C16" s="379" t="inlineStr">
        <is>
          <t>Затраты труда машинистов</t>
        </is>
      </c>
      <c r="D16" s="380" t="inlineStr">
        <is>
          <t>чел.-ч.</t>
        </is>
      </c>
      <c r="E16" s="453" t="n">
        <v>75.5</v>
      </c>
      <c r="F16" s="207">
        <f>G16/E16</f>
        <v/>
      </c>
      <c r="G16" s="207">
        <f>Прил.3!H14</f>
        <v/>
      </c>
      <c r="H16" s="383" t="n">
        <v>1</v>
      </c>
      <c r="I16" s="207">
        <f>ROUND(F16*Прил.10!D11,2)</f>
        <v/>
      </c>
      <c r="J16" s="207">
        <f>ROUND(I16*E16,2)</f>
        <v/>
      </c>
      <c r="K16" s="454" t="n"/>
    </row>
    <row r="17" ht="14.25" customFormat="1" customHeight="1" s="301">
      <c r="A17" s="380" t="n"/>
      <c r="B17" s="369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00" t="n"/>
      <c r="J17" s="200" t="n"/>
    </row>
    <row r="18" ht="14.25" customFormat="1" customHeight="1" s="301">
      <c r="A18" s="380" t="n"/>
      <c r="B18" s="379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25.5" customFormat="1" customHeight="1" s="301">
      <c r="A19" s="380" t="n">
        <v>3</v>
      </c>
      <c r="B19" s="269" t="inlineStr">
        <is>
          <t>91.05.05-018</t>
        </is>
      </c>
      <c r="C19" s="270" t="inlineStr">
        <is>
          <t>Краны на автомобильном ходу, грузоподъемность 63 т</t>
        </is>
      </c>
      <c r="D19" s="398" t="inlineStr">
        <is>
          <t>маш.час</t>
        </is>
      </c>
      <c r="E19" s="455" t="n">
        <v>14.5</v>
      </c>
      <c r="F19" s="272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1">
      <c r="A20" s="380" t="n">
        <v>4</v>
      </c>
      <c r="B20" s="269" t="inlineStr">
        <is>
          <t>91.06.03-012</t>
        </is>
      </c>
      <c r="C20" s="270" t="inlineStr">
        <is>
          <t>Лебедки-прицепы гидравлические для протяжки кабеля, тяговое усилие 10 т</t>
        </is>
      </c>
      <c r="D20" s="398" t="inlineStr">
        <is>
          <t>маш.час</t>
        </is>
      </c>
      <c r="E20" s="455" t="n">
        <v>25</v>
      </c>
      <c r="F20" s="272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1">
      <c r="A21" s="380" t="n"/>
      <c r="B21" s="380" t="n"/>
      <c r="C21" s="379" t="inlineStr">
        <is>
          <t>Итого основные машины и механизмы</t>
        </is>
      </c>
      <c r="D21" s="380" t="n"/>
      <c r="E21" s="453" t="n"/>
      <c r="F21" s="207" t="n"/>
      <c r="G21" s="207">
        <f>SUM(G19:G20)</f>
        <v/>
      </c>
      <c r="H21" s="383">
        <f>G21/G31</f>
        <v/>
      </c>
      <c r="I21" s="201" t="n"/>
      <c r="J21" s="207">
        <f>SUM(J19:J20)</f>
        <v/>
      </c>
    </row>
    <row r="22" outlineLevel="1" ht="14.25" customFormat="1" customHeight="1" s="301">
      <c r="A22" s="380" t="n">
        <v>5</v>
      </c>
      <c r="B22" s="269" t="inlineStr">
        <is>
          <t>91.14.04-003</t>
        </is>
      </c>
      <c r="C22" s="270" t="inlineStr">
        <is>
          <t>Тягачи седельные, грузоподъемность 30 т</t>
        </is>
      </c>
      <c r="D22" s="398" t="inlineStr">
        <is>
          <t>маш.час</t>
        </is>
      </c>
      <c r="E22" s="455" t="n">
        <v>12</v>
      </c>
      <c r="F22" s="272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1">
      <c r="A23" s="380" t="n">
        <v>6</v>
      </c>
      <c r="B23" s="269" t="inlineStr">
        <is>
          <t>91.05.13-001</t>
        </is>
      </c>
      <c r="C23" s="270" t="inlineStr">
        <is>
          <t>Автомобили бортовые, грузоподъемность до 6 т, с краном-манипулятором-4,0 т</t>
        </is>
      </c>
      <c r="D23" s="398" t="inlineStr">
        <is>
          <t>маш.час</t>
        </is>
      </c>
      <c r="E23" s="455" t="n">
        <v>1.5</v>
      </c>
      <c r="F23" s="272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1">
      <c r="A24" s="380" t="n">
        <v>7</v>
      </c>
      <c r="B24" s="269" t="inlineStr">
        <is>
          <t>91.11.01-021</t>
        </is>
      </c>
      <c r="C24" s="270" t="inlineStr">
        <is>
          <t>Устройства подталкивающие для протяжки кабеля, тяговое усилие 800 кг</t>
        </is>
      </c>
      <c r="D24" s="398" t="inlineStr">
        <is>
          <t>маш.час</t>
        </is>
      </c>
      <c r="E24" s="455" t="n">
        <v>16.8</v>
      </c>
      <c r="F24" s="272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1">
      <c r="A25" s="380" t="n">
        <v>8</v>
      </c>
      <c r="B25" s="269" t="inlineStr">
        <is>
          <t>91.14.05-002</t>
        </is>
      </c>
      <c r="C25" s="270" t="inlineStr">
        <is>
          <t>Полуприцепы-тяжеловозы, грузоподъемность 40 т</t>
        </is>
      </c>
      <c r="D25" s="398" t="inlineStr">
        <is>
          <t>маш.час</t>
        </is>
      </c>
      <c r="E25" s="455" t="n">
        <v>12</v>
      </c>
      <c r="F25" s="272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1">
      <c r="A26" s="380" t="n">
        <v>9</v>
      </c>
      <c r="B26" s="269" t="inlineStr">
        <is>
          <t>91.16.01-002</t>
        </is>
      </c>
      <c r="C26" s="270" t="inlineStr">
        <is>
          <t>Электростанции передвижные, мощность 4 кВт</t>
        </is>
      </c>
      <c r="D26" s="398" t="inlineStr">
        <is>
          <t>маш.час</t>
        </is>
      </c>
      <c r="E26" s="455" t="n">
        <v>8</v>
      </c>
      <c r="F26" s="272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1">
      <c r="A27" s="380" t="n">
        <v>10</v>
      </c>
      <c r="B27" s="269" t="inlineStr">
        <is>
          <t>91.17.04-091</t>
        </is>
      </c>
      <c r="C27" s="270" t="inlineStr">
        <is>
          <t>Горелки газовые инжекторные</t>
        </is>
      </c>
      <c r="D27" s="398" t="inlineStr">
        <is>
          <t>маш.час</t>
        </is>
      </c>
      <c r="E27" s="455" t="n">
        <v>8</v>
      </c>
      <c r="F27" s="272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1">
      <c r="A28" s="380" t="n">
        <v>11</v>
      </c>
      <c r="B28" s="269" t="inlineStr">
        <is>
          <t>91.21.15-022</t>
        </is>
      </c>
      <c r="C28" s="270" t="inlineStr">
        <is>
          <t>Пилы ленточные с поворотной пилорамой</t>
        </is>
      </c>
      <c r="D28" s="398" t="inlineStr">
        <is>
          <t>маш.час</t>
        </is>
      </c>
      <c r="E28" s="455" t="n">
        <v>8</v>
      </c>
      <c r="F28" s="272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1">
      <c r="A29" s="380" t="n">
        <v>12</v>
      </c>
      <c r="B29" s="269" t="inlineStr">
        <is>
          <t>91.06.01-002</t>
        </is>
      </c>
      <c r="C29" s="270" t="inlineStr">
        <is>
          <t>Домкраты гидравлические, грузоподъемность 6,3-25 т</t>
        </is>
      </c>
      <c r="D29" s="398" t="inlineStr">
        <is>
          <t>маш.час</t>
        </is>
      </c>
      <c r="E29" s="455" t="n">
        <v>40.8</v>
      </c>
      <c r="F29" s="272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1">
      <c r="A31" s="380" t="n"/>
      <c r="B31" s="380" t="n"/>
      <c r="C31" s="369" t="inlineStr">
        <is>
          <t>Итого по разделу «Машины и механизмы»</t>
        </is>
      </c>
      <c r="D31" s="380" t="n"/>
      <c r="E31" s="381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  <c r="K31" s="454" t="n"/>
    </row>
    <row r="32" ht="14.25" customFormat="1" customHeight="1" s="301">
      <c r="A32" s="380" t="n"/>
      <c r="B32" s="369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200" t="n"/>
      <c r="J32" s="200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  <c r="K33" s="301" t="n"/>
      <c r="L33" s="301" t="n"/>
    </row>
    <row r="34">
      <c r="A34" s="380" t="n"/>
      <c r="B34" s="380" t="n"/>
      <c r="C34" s="379" t="inlineStr">
        <is>
          <t>Итого основное оборудование</t>
        </is>
      </c>
      <c r="D34" s="380" t="n"/>
      <c r="E34" s="456" t="n"/>
      <c r="F34" s="382" t="n"/>
      <c r="G34" s="207" t="n">
        <v>0</v>
      </c>
      <c r="H34" s="209" t="n">
        <v>0</v>
      </c>
      <c r="I34" s="201" t="n"/>
      <c r="J34" s="207" t="n">
        <v>0</v>
      </c>
      <c r="K34" s="301" t="n"/>
      <c r="L34" s="301" t="n"/>
    </row>
    <row r="35">
      <c r="A35" s="380" t="n"/>
      <c r="B35" s="380" t="n"/>
      <c r="C35" s="379" t="inlineStr">
        <is>
          <t>Итого прочее оборудование</t>
        </is>
      </c>
      <c r="D35" s="380" t="n"/>
      <c r="E35" s="453" t="n"/>
      <c r="F35" s="382" t="n"/>
      <c r="G35" s="207" t="n">
        <v>0</v>
      </c>
      <c r="H35" s="209" t="n">
        <v>0</v>
      </c>
      <c r="I35" s="201" t="n"/>
      <c r="J35" s="207" t="n">
        <v>0</v>
      </c>
      <c r="K35" s="301" t="n"/>
      <c r="L35" s="301" t="n"/>
    </row>
    <row r="36">
      <c r="A36" s="380" t="n"/>
      <c r="B36" s="380" t="n"/>
      <c r="C36" s="369" t="inlineStr">
        <is>
          <t>Итого по разделу «Оборудование»</t>
        </is>
      </c>
      <c r="D36" s="380" t="n"/>
      <c r="E36" s="381" t="n"/>
      <c r="F36" s="382" t="n"/>
      <c r="G36" s="207">
        <f>G34+G35</f>
        <v/>
      </c>
      <c r="H36" s="209" t="n">
        <v>0</v>
      </c>
      <c r="I36" s="201" t="n"/>
      <c r="J36" s="207">
        <f>J35+J34</f>
        <v/>
      </c>
      <c r="K36" s="301" t="n"/>
      <c r="L36" s="301" t="n"/>
    </row>
    <row r="37" ht="25.5" customHeight="1" s="329">
      <c r="A37" s="380" t="n"/>
      <c r="B37" s="380" t="n"/>
      <c r="C37" s="379" t="inlineStr">
        <is>
          <t>в том числе технологическое оборудование</t>
        </is>
      </c>
      <c r="D37" s="380" t="n"/>
      <c r="E37" s="456" t="n"/>
      <c r="F37" s="382" t="n"/>
      <c r="G37" s="207">
        <f>'Прил.6 Расчет ОБ'!G12</f>
        <v/>
      </c>
      <c r="H37" s="383" t="n"/>
      <c r="I37" s="201" t="n"/>
      <c r="J37" s="207">
        <f>J36</f>
        <v/>
      </c>
      <c r="K37" s="301" t="n"/>
      <c r="L37" s="301" t="n"/>
    </row>
    <row r="38" ht="14.25" customFormat="1" customHeight="1" s="301">
      <c r="A38" s="380" t="n"/>
      <c r="B38" s="369" t="inlineStr">
        <is>
          <t>Материалы</t>
        </is>
      </c>
      <c r="C38" s="444" t="n"/>
      <c r="D38" s="444" t="n"/>
      <c r="E38" s="444" t="n"/>
      <c r="F38" s="444" t="n"/>
      <c r="G38" s="444" t="n"/>
      <c r="H38" s="445" t="n"/>
      <c r="I38" s="200" t="n"/>
      <c r="J38" s="200" t="n"/>
    </row>
    <row r="39" ht="14.25" customFormat="1" customHeight="1" s="301">
      <c r="A39" s="375" t="n"/>
      <c r="B39" s="374" t="inlineStr">
        <is>
          <t>Основные материалы</t>
        </is>
      </c>
      <c r="C39" s="457" t="n"/>
      <c r="D39" s="457" t="n"/>
      <c r="E39" s="457" t="n"/>
      <c r="F39" s="457" t="n"/>
      <c r="G39" s="457" t="n"/>
      <c r="H39" s="458" t="n"/>
      <c r="I39" s="215" t="n"/>
      <c r="J39" s="215" t="n"/>
    </row>
    <row r="40" ht="14.25" customFormat="1" customHeight="1" s="301">
      <c r="A40" s="380" t="n">
        <v>13</v>
      </c>
      <c r="B40" s="380" t="inlineStr">
        <is>
          <t>БЦ.83.614</t>
        </is>
      </c>
      <c r="C40" s="270" t="inlineStr">
        <is>
          <t>Кабель медный 220кВ 3х400</t>
        </is>
      </c>
      <c r="D40" s="380" t="inlineStr">
        <is>
          <t>км</t>
        </is>
      </c>
      <c r="E40" s="456">
        <f>1*3.3</f>
        <v/>
      </c>
      <c r="F40" s="382">
        <f>ROUND(I40/Прил.10!$D$13,2)</f>
        <v/>
      </c>
      <c r="G40" s="207">
        <f>ROUND(E40*F40,2)</f>
        <v/>
      </c>
      <c r="H40" s="209">
        <f>G40/$G$44</f>
        <v/>
      </c>
      <c r="I40" s="207" t="n">
        <v>8533149.01</v>
      </c>
      <c r="J40" s="207">
        <f>ROUND(I40*E40,2)</f>
        <v/>
      </c>
    </row>
    <row r="41" ht="14.25" customFormat="1" customHeight="1" s="301">
      <c r="A41" s="391" t="n"/>
      <c r="B41" s="217" t="n"/>
      <c r="C41" s="218" t="inlineStr">
        <is>
          <t>Итого основные материалы</t>
        </is>
      </c>
      <c r="D41" s="391" t="n"/>
      <c r="E41" s="459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1">
      <c r="A42" s="380" t="n">
        <v>14</v>
      </c>
      <c r="B42" s="269" t="inlineStr">
        <is>
          <t>01.3.02.09-0022</t>
        </is>
      </c>
      <c r="C42" s="270" t="inlineStr">
        <is>
          <t>Пропан-бутан смесь техническая</t>
        </is>
      </c>
      <c r="D42" s="398" t="inlineStr">
        <is>
          <t>кг</t>
        </is>
      </c>
      <c r="E42" s="455" t="n">
        <v>3.56</v>
      </c>
      <c r="F42" s="255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1">
      <c r="A43" s="380" t="n"/>
      <c r="B43" s="380" t="n"/>
      <c r="C43" s="379" t="inlineStr">
        <is>
          <t>Итого прочие материалы</t>
        </is>
      </c>
      <c r="D43" s="380" t="n"/>
      <c r="E43" s="456" t="n"/>
      <c r="F43" s="382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1">
      <c r="A44" s="380" t="n"/>
      <c r="B44" s="380" t="n"/>
      <c r="C44" s="369" t="inlineStr">
        <is>
          <t>Итого по разделу «Материалы»</t>
        </is>
      </c>
      <c r="D44" s="380" t="n"/>
      <c r="E44" s="381" t="n"/>
      <c r="F44" s="382" t="n"/>
      <c r="G44" s="207">
        <f>G41+G43</f>
        <v/>
      </c>
      <c r="H44" s="383">
        <f>G44/$G$44</f>
        <v/>
      </c>
      <c r="I44" s="207" t="n"/>
      <c r="J44" s="207">
        <f>J41+J43</f>
        <v/>
      </c>
      <c r="K44" s="454" t="n"/>
    </row>
    <row r="45" ht="14.25" customFormat="1" customHeight="1" s="301">
      <c r="A45" s="380" t="n"/>
      <c r="B45" s="380" t="n"/>
      <c r="C45" s="379" t="inlineStr">
        <is>
          <t>ИТОГО ПО РМ</t>
        </is>
      </c>
      <c r="D45" s="380" t="n"/>
      <c r="E45" s="381" t="n"/>
      <c r="F45" s="382" t="n"/>
      <c r="G45" s="207">
        <f>G14+G31+G44</f>
        <v/>
      </c>
      <c r="H45" s="383" t="n"/>
      <c r="I45" s="207" t="n"/>
      <c r="J45" s="207">
        <f>J14+J31+J44</f>
        <v/>
      </c>
    </row>
    <row r="46" ht="14.25" customFormat="1" customHeight="1" s="301">
      <c r="A46" s="380" t="n"/>
      <c r="B46" s="380" t="n"/>
      <c r="C46" s="379" t="inlineStr">
        <is>
          <t>Накладные расходы</t>
        </is>
      </c>
      <c r="D46" s="203">
        <f>ROUND(G46/(G$16+$G$14),2)</f>
        <v/>
      </c>
      <c r="E46" s="381" t="n"/>
      <c r="F46" s="382" t="n"/>
      <c r="G46" s="207" t="n">
        <v>10458.44</v>
      </c>
      <c r="H46" s="383" t="n"/>
      <c r="I46" s="207" t="n"/>
      <c r="J46" s="207">
        <f>ROUND(D46*(J14+J16),2)</f>
        <v/>
      </c>
    </row>
    <row r="47" ht="14.25" customFormat="1" customHeight="1" s="301">
      <c r="A47" s="380" t="n"/>
      <c r="B47" s="380" t="n"/>
      <c r="C47" s="379" t="inlineStr">
        <is>
          <t>Сметная прибыль</t>
        </is>
      </c>
      <c r="D47" s="203">
        <f>ROUND(G47/(G$14+G$16),2)</f>
        <v/>
      </c>
      <c r="E47" s="381" t="n"/>
      <c r="F47" s="382" t="n"/>
      <c r="G47" s="207" t="n">
        <v>5498.77</v>
      </c>
      <c r="H47" s="383" t="n"/>
      <c r="I47" s="207" t="n"/>
      <c r="J47" s="207">
        <f>ROUND(D47*(J14+J16),2)</f>
        <v/>
      </c>
    </row>
    <row r="48" ht="14.25" customFormat="1" customHeight="1" s="301">
      <c r="A48" s="380" t="n"/>
      <c r="B48" s="380" t="n"/>
      <c r="C48" s="379" t="inlineStr">
        <is>
          <t>Итого СМР (с НР и СП)</t>
        </is>
      </c>
      <c r="D48" s="380" t="n"/>
      <c r="E48" s="381" t="n"/>
      <c r="F48" s="382" t="n"/>
      <c r="G48" s="207">
        <f>G14+G31+G44+G46+G47</f>
        <v/>
      </c>
      <c r="H48" s="383" t="n"/>
      <c r="I48" s="207" t="n"/>
      <c r="J48" s="207">
        <f>J14+J31+J44+J46+J47</f>
        <v/>
      </c>
    </row>
    <row r="49" ht="14.25" customFormat="1" customHeight="1" s="301">
      <c r="A49" s="380" t="n"/>
      <c r="B49" s="380" t="n"/>
      <c r="C49" s="379" t="inlineStr">
        <is>
          <t>ВСЕГО СМР + ОБОРУДОВАНИЕ</t>
        </is>
      </c>
      <c r="D49" s="380" t="n"/>
      <c r="E49" s="381" t="n"/>
      <c r="F49" s="382" t="n"/>
      <c r="G49" s="207">
        <f>G48+G36</f>
        <v/>
      </c>
      <c r="H49" s="383" t="n"/>
      <c r="I49" s="207" t="n"/>
      <c r="J49" s="207">
        <f>J48+J36</f>
        <v/>
      </c>
    </row>
    <row r="50" ht="34.5" customFormat="1" customHeight="1" s="301">
      <c r="A50" s="380" t="n"/>
      <c r="B50" s="380" t="n"/>
      <c r="C50" s="379" t="inlineStr">
        <is>
          <t>ИТОГО ПОКАЗАТЕЛЬ НА ЕД. ИЗМ.</t>
        </is>
      </c>
      <c r="D50" s="380" t="inlineStr">
        <is>
          <t>1 км</t>
        </is>
      </c>
      <c r="E50" s="456" t="n">
        <v>1</v>
      </c>
      <c r="F50" s="382" t="n"/>
      <c r="G50" s="207">
        <f>G49/E50</f>
        <v/>
      </c>
      <c r="H50" s="383" t="n"/>
      <c r="I50" s="207" t="n"/>
      <c r="J50" s="207">
        <f>J49/E50</f>
        <v/>
      </c>
    </row>
    <row r="52" ht="14.25" customFormat="1" customHeight="1" s="301">
      <c r="A52" s="300" t="inlineStr">
        <is>
          <t>Составил ______________________    А.Р. Маркова</t>
        </is>
      </c>
    </row>
    <row r="53" ht="14.25" customFormat="1" customHeight="1" s="301">
      <c r="A53" s="303" t="inlineStr">
        <is>
          <t xml:space="preserve">                         (подпись, инициалы, фамилия)</t>
        </is>
      </c>
    </row>
    <row r="54" ht="14.25" customFormat="1" customHeight="1" s="301">
      <c r="A54" s="300" t="n"/>
    </row>
    <row r="55" ht="14.25" customFormat="1" customHeight="1" s="301">
      <c r="A55" s="300" t="inlineStr">
        <is>
          <t>Проверил ______________________        А.В. Костянецкая</t>
        </is>
      </c>
    </row>
    <row r="56" ht="14.25" customFormat="1" customHeight="1" s="301">
      <c r="A56" s="30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J38" sqref="J38"/>
    </sheetView>
  </sheetViews>
  <sheetFormatPr baseColWidth="8" defaultRowHeight="15"/>
  <cols>
    <col width="5.7109375" customWidth="1" style="329" min="1" max="1"/>
    <col width="17.5703125" customWidth="1" style="329" min="2" max="2"/>
    <col width="39.140625" customWidth="1" style="329" min="3" max="3"/>
    <col width="10.7109375" customWidth="1" style="329" min="4" max="4"/>
    <col width="13.85546875" customWidth="1" style="329" min="5" max="5"/>
    <col width="13.28515625" customWidth="1" style="329" min="6" max="6"/>
    <col width="14.140625" customWidth="1" style="329" min="7" max="7"/>
  </cols>
  <sheetData>
    <row r="1">
      <c r="A1" s="393" t="inlineStr">
        <is>
          <t>Приложение №6</t>
        </is>
      </c>
    </row>
    <row r="2" ht="21.75" customHeight="1" s="329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5.5" customHeight="1" s="329">
      <c r="A4" s="354" t="inlineStr">
        <is>
          <t>Наименование разрабатываемого показателя УНЦ — КЛ 220 кВ (с медной жилой) сечение жилы 400 мм2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" customHeight="1" s="329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9">
      <c r="A9" s="242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9">
      <c r="A10" s="380" t="n"/>
      <c r="B10" s="369" t="n"/>
      <c r="C10" s="379" t="inlineStr">
        <is>
          <t>ИТОГО ИНЖЕНЕРНОЕ ОБОРУДОВАНИЕ</t>
        </is>
      </c>
      <c r="D10" s="369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9">
      <c r="A12" s="380" t="n"/>
      <c r="B12" s="379" t="n"/>
      <c r="C12" s="379" t="inlineStr">
        <is>
          <t>ИТОГО ТЕХНОЛОГИЧЕСКОЕ ОБОРУДОВАНИЕ</t>
        </is>
      </c>
      <c r="D12" s="379" t="n"/>
      <c r="E12" s="397" t="n"/>
      <c r="F12" s="382" t="n"/>
      <c r="G12" s="207" t="n">
        <v>0</v>
      </c>
    </row>
    <row r="13" ht="19.5" customHeight="1" s="329">
      <c r="A13" s="380" t="n"/>
      <c r="B13" s="379" t="n"/>
      <c r="C13" s="379" t="inlineStr">
        <is>
          <t>Всего по разделу «Оборудование»</t>
        </is>
      </c>
      <c r="D13" s="379" t="n"/>
      <c r="E13" s="397" t="n"/>
      <c r="F13" s="382" t="n"/>
      <c r="G13" s="207">
        <f>G10+G12</f>
        <v/>
      </c>
    </row>
    <row r="14">
      <c r="A14" s="302" t="n"/>
      <c r="B14" s="151" t="n"/>
      <c r="C14" s="302" t="n"/>
      <c r="D14" s="302" t="n"/>
      <c r="E14" s="302" t="n"/>
      <c r="F14" s="302" t="n"/>
      <c r="G14" s="302" t="n"/>
    </row>
    <row r="15">
      <c r="A15" s="300" t="inlineStr">
        <is>
          <t>Составил ______________________    А.Р. Маркова</t>
        </is>
      </c>
      <c r="B15" s="301" t="n"/>
      <c r="C15" s="301" t="n"/>
      <c r="D15" s="302" t="n"/>
      <c r="E15" s="302" t="n"/>
      <c r="F15" s="302" t="n"/>
      <c r="G15" s="302" t="n"/>
    </row>
    <row r="16">
      <c r="A16" s="303" t="inlineStr">
        <is>
          <t xml:space="preserve">                         (подпись, инициалы, фамилия)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n"/>
      <c r="B17" s="301" t="n"/>
      <c r="C17" s="301" t="n"/>
      <c r="D17" s="302" t="n"/>
      <c r="E17" s="302" t="n"/>
      <c r="F17" s="302" t="n"/>
      <c r="G17" s="302" t="n"/>
    </row>
    <row r="18">
      <c r="A18" s="300" t="inlineStr">
        <is>
          <t>Проверил ______________________        А.В. Костянецкая</t>
        </is>
      </c>
      <c r="B18" s="301" t="n"/>
      <c r="C18" s="301" t="n"/>
      <c r="D18" s="302" t="n"/>
      <c r="E18" s="302" t="n"/>
      <c r="F18" s="302" t="n"/>
      <c r="G18" s="302" t="n"/>
    </row>
    <row r="19">
      <c r="A19" s="303" t="inlineStr">
        <is>
          <t xml:space="preserve">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9" min="1" max="1"/>
    <col width="22.42578125" customWidth="1" style="329" min="2" max="2"/>
    <col width="37.140625" customWidth="1" style="329" min="3" max="3"/>
    <col width="49" customWidth="1" style="329" min="4" max="4"/>
    <col width="9.140625" customWidth="1" style="329" min="5" max="5"/>
  </cols>
  <sheetData>
    <row r="1" ht="15.75" customHeight="1" s="329">
      <c r="A1" s="331" t="n"/>
      <c r="B1" s="331" t="n"/>
      <c r="C1" s="331" t="n"/>
      <c r="D1" s="331" t="inlineStr">
        <is>
          <t>Приложение №7</t>
        </is>
      </c>
    </row>
    <row r="2" ht="15.75" customHeight="1" s="329">
      <c r="A2" s="331" t="n"/>
      <c r="B2" s="331" t="n"/>
      <c r="C2" s="331" t="n"/>
      <c r="D2" s="331" t="n"/>
    </row>
    <row r="3" ht="15.75" customHeight="1" s="329">
      <c r="A3" s="331" t="n"/>
      <c r="B3" s="294" t="inlineStr">
        <is>
          <t>Расчет показателя УНЦ</t>
        </is>
      </c>
      <c r="C3" s="331" t="n"/>
      <c r="D3" s="331" t="n"/>
    </row>
    <row r="4" ht="15.75" customHeight="1" s="329">
      <c r="A4" s="331" t="n"/>
      <c r="B4" s="331" t="n"/>
      <c r="C4" s="331" t="n"/>
      <c r="D4" s="331" t="n"/>
    </row>
    <row r="5" ht="31.5" customHeight="1" s="329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29">
      <c r="A6" s="331" t="inlineStr">
        <is>
          <t>Единица измерения  — 1 км</t>
        </is>
      </c>
      <c r="B6" s="331" t="n"/>
      <c r="C6" s="331" t="n"/>
      <c r="D6" s="331" t="n"/>
    </row>
    <row r="7" ht="15.75" customHeight="1" s="329">
      <c r="A7" s="331" t="n"/>
      <c r="B7" s="331" t="n"/>
      <c r="C7" s="331" t="n"/>
      <c r="D7" s="331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9">
      <c r="A10" s="366" t="n">
        <v>1</v>
      </c>
      <c r="B10" s="366" t="n">
        <v>2</v>
      </c>
      <c r="C10" s="366" t="n">
        <v>3</v>
      </c>
      <c r="D10" s="366" t="n">
        <v>4</v>
      </c>
    </row>
    <row r="11" ht="31.5" customHeight="1" s="329">
      <c r="A11" s="366" t="inlineStr">
        <is>
          <t>К2-10-6</t>
        </is>
      </c>
      <c r="B11" s="366" t="inlineStr">
        <is>
          <t xml:space="preserve">УНЦ КЛ 6 - 500 кВ (с медной жилой) </t>
        </is>
      </c>
      <c r="C11" s="298">
        <f>D5</f>
        <v/>
      </c>
      <c r="D11" s="337">
        <f>'Прил.4 РМ'!C41/1000</f>
        <v/>
      </c>
    </row>
    <row r="13">
      <c r="A13" s="300" t="inlineStr">
        <is>
          <t>Составил ______________________    А.Р. Маркова</t>
        </is>
      </c>
      <c r="B13" s="301" t="n"/>
      <c r="C13" s="301" t="n"/>
      <c r="D13" s="302" t="n"/>
    </row>
    <row r="14">
      <c r="A14" s="303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300" t="n"/>
      <c r="B15" s="301" t="n"/>
      <c r="C15" s="301" t="n"/>
      <c r="D15" s="302" t="n"/>
    </row>
    <row r="16">
      <c r="A16" s="300" t="inlineStr">
        <is>
          <t>Проверил ______________________        А.В. Костянецкая</t>
        </is>
      </c>
      <c r="B16" s="301" t="n"/>
      <c r="C16" s="301" t="n"/>
      <c r="D16" s="302" t="n"/>
    </row>
    <row r="17" ht="20.25" customHeight="1" s="329">
      <c r="A17" s="303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M37" sqref="M37"/>
    </sheetView>
  </sheetViews>
  <sheetFormatPr baseColWidth="8" defaultColWidth="9.140625" defaultRowHeight="15"/>
  <cols>
    <col width="9.140625" customWidth="1" style="329" min="1" max="1"/>
    <col width="40.7109375" customWidth="1" style="329" min="2" max="2"/>
    <col width="37" customWidth="1" style="329" min="3" max="3"/>
    <col width="32" customWidth="1" style="329" min="4" max="4"/>
    <col width="9.140625" customWidth="1" style="329" min="5" max="5"/>
  </cols>
  <sheetData>
    <row r="4" ht="15.75" customHeight="1" s="329">
      <c r="B4" s="361" t="inlineStr">
        <is>
          <t>Приложение № 10</t>
        </is>
      </c>
    </row>
    <row r="5" ht="18.75" customHeight="1" s="329">
      <c r="B5" s="172" t="n"/>
    </row>
    <row r="6" ht="15.75" customHeight="1" s="329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9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29">
      <c r="B10" s="366" t="n">
        <v>1</v>
      </c>
      <c r="C10" s="366" t="n">
        <v>2</v>
      </c>
      <c r="D10" s="366" t="n">
        <v>3</v>
      </c>
    </row>
    <row r="11" ht="45" customHeight="1" s="329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29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10.84</v>
      </c>
    </row>
    <row r="13" ht="29.25" customHeight="1" s="329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5.34</v>
      </c>
    </row>
    <row r="14" ht="30.75" customHeight="1" s="329">
      <c r="B14" s="366" t="inlineStr">
        <is>
          <t>Индекс изменения сметной стоимости на 1 квартал 2023 года. ОБ</t>
        </is>
      </c>
      <c r="C14" s="309" t="inlineStr">
        <is>
          <t>Письмо Минстроя России от 23.02.2023г. №9791-ИФ/09 прил.6</t>
        </is>
      </c>
      <c r="D14" s="366" t="n">
        <v>6.26</v>
      </c>
    </row>
    <row r="15" ht="89.25" customHeight="1" s="329">
      <c r="B15" s="366" t="inlineStr">
        <is>
          <t>Временные здания и сооружения</t>
        </is>
      </c>
      <c r="C15" s="36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9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9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9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75" t="n">
        <v>0.002</v>
      </c>
    </row>
    <row r="19" ht="24" customHeight="1" s="329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75" t="n">
        <v>0.03</v>
      </c>
    </row>
    <row r="20" ht="18.75" customHeight="1" s="329">
      <c r="B20" s="254" t="n"/>
    </row>
    <row r="21" ht="18.75" customHeight="1" s="329">
      <c r="B21" s="254" t="n"/>
    </row>
    <row r="22" ht="18.75" customHeight="1" s="329">
      <c r="B22" s="254" t="n"/>
    </row>
    <row r="23" ht="18.75" customHeight="1" s="329">
      <c r="B23" s="254" t="n"/>
    </row>
    <row r="26">
      <c r="B26" s="300" t="inlineStr">
        <is>
          <t>Составил ______________________        Е.А. Князева</t>
        </is>
      </c>
      <c r="C26" s="301" t="n"/>
    </row>
    <row r="27">
      <c r="B27" s="303" t="inlineStr">
        <is>
          <t xml:space="preserve">                         (подпись, инициалы, фамилия)</t>
        </is>
      </c>
      <c r="C27" s="301" t="n"/>
    </row>
    <row r="28">
      <c r="B28" s="300" t="n"/>
      <c r="C28" s="301" t="n"/>
    </row>
    <row r="29">
      <c r="B29" s="300" t="inlineStr">
        <is>
          <t>Проверил ______________________        А.В. Костянецкая</t>
        </is>
      </c>
      <c r="C29" s="301" t="n"/>
    </row>
    <row r="30">
      <c r="B30" s="303" t="inlineStr">
        <is>
          <t xml:space="preserve">                        (подпись, инициалы, фамилия)</t>
        </is>
      </c>
      <c r="C30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24" sqref="Q24"/>
    </sheetView>
  </sheetViews>
  <sheetFormatPr baseColWidth="8" defaultColWidth="9.140625" defaultRowHeight="15"/>
  <cols>
    <col width="44.85546875" customWidth="1" style="329" min="2" max="2"/>
    <col width="13" customWidth="1" style="329" min="3" max="3"/>
    <col width="22.85546875" customWidth="1" style="329" min="4" max="4"/>
    <col width="21.5703125" customWidth="1" style="329" min="5" max="5"/>
    <col width="43.85546875" customWidth="1" style="329" min="6" max="6"/>
  </cols>
  <sheetData>
    <row r="1" s="329"/>
    <row r="2" ht="17.25" customHeight="1" s="329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29"/>
    <row r="4" ht="18" customHeight="1" s="329">
      <c r="A4" s="330" t="inlineStr">
        <is>
          <t>Составлен в уровне цен на 01.01.2023 г.</t>
        </is>
      </c>
      <c r="B4" s="331" t="n"/>
      <c r="C4" s="331" t="n"/>
      <c r="D4" s="331" t="n"/>
      <c r="E4" s="331" t="n"/>
      <c r="F4" s="331" t="n"/>
      <c r="G4" s="331" t="n"/>
    </row>
    <row r="5" ht="15.75" customHeight="1" s="329">
      <c r="A5" s="332" t="inlineStr">
        <is>
          <t>№ пп.</t>
        </is>
      </c>
      <c r="B5" s="332" t="inlineStr">
        <is>
          <t>Наименование элемента</t>
        </is>
      </c>
      <c r="C5" s="332" t="inlineStr">
        <is>
          <t>Обозначение</t>
        </is>
      </c>
      <c r="D5" s="332" t="inlineStr">
        <is>
          <t>Формула</t>
        </is>
      </c>
      <c r="E5" s="332" t="inlineStr">
        <is>
          <t>Величина элемента</t>
        </is>
      </c>
      <c r="F5" s="332" t="inlineStr">
        <is>
          <t>Наименования обосновывающих документов</t>
        </is>
      </c>
      <c r="G5" s="331" t="n"/>
    </row>
    <row r="6" ht="15.75" customHeight="1" s="329">
      <c r="A6" s="332" t="n">
        <v>1</v>
      </c>
      <c r="B6" s="332" t="n">
        <v>2</v>
      </c>
      <c r="C6" s="332" t="n">
        <v>3</v>
      </c>
      <c r="D6" s="332" t="n">
        <v>4</v>
      </c>
      <c r="E6" s="332" t="n">
        <v>5</v>
      </c>
      <c r="F6" s="332" t="n">
        <v>6</v>
      </c>
      <c r="G6" s="331" t="n"/>
    </row>
    <row r="7" ht="110.25" customHeight="1" s="329">
      <c r="A7" s="333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36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1" t="n"/>
    </row>
    <row r="8" ht="31.5" customHeight="1" s="329">
      <c r="A8" s="333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37">
        <f>1973/12</f>
        <v/>
      </c>
      <c r="F8" s="338" t="inlineStr">
        <is>
          <t>Производственный календарь 2023 год
(40-часов.неделя)</t>
        </is>
      </c>
      <c r="G8" s="340" t="n"/>
    </row>
    <row r="9" ht="15.75" customHeight="1" s="329">
      <c r="A9" s="333" t="inlineStr">
        <is>
          <t>1.3</t>
        </is>
      </c>
      <c r="B9" s="338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37" t="n">
        <v>1</v>
      </c>
      <c r="F9" s="338" t="n"/>
      <c r="G9" s="340" t="n"/>
    </row>
    <row r="10" ht="15.75" customHeight="1" s="329">
      <c r="A10" s="333" t="inlineStr">
        <is>
          <t>1.4</t>
        </is>
      </c>
      <c r="B10" s="338" t="inlineStr">
        <is>
          <t>Средний разряд работ</t>
        </is>
      </c>
      <c r="C10" s="366" t="n"/>
      <c r="D10" s="366" t="n"/>
      <c r="E10" s="460" t="n">
        <v>4</v>
      </c>
      <c r="F10" s="338" t="inlineStr">
        <is>
          <t>РТМ</t>
        </is>
      </c>
      <c r="G10" s="340" t="n"/>
    </row>
    <row r="11" ht="78.75" customHeight="1" s="329">
      <c r="A11" s="333" t="inlineStr">
        <is>
          <t>1.5</t>
        </is>
      </c>
      <c r="B11" s="338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461" t="n">
        <v>1.34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1" t="n"/>
    </row>
    <row r="12" ht="78.75" customHeight="1" s="329">
      <c r="A12" s="333" t="inlineStr">
        <is>
          <t>1.6</t>
        </is>
      </c>
      <c r="B12" s="343" t="inlineStr">
        <is>
          <t>Коэффициент инфляции, определяемый поквартально</t>
        </is>
      </c>
      <c r="C12" s="366" t="inlineStr">
        <is>
          <t>Кинф</t>
        </is>
      </c>
      <c r="D12" s="366" t="inlineStr">
        <is>
          <t>-</t>
        </is>
      </c>
      <c r="E12" s="462" t="n">
        <v>1.139</v>
      </c>
      <c r="F12" s="3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0" t="n"/>
    </row>
    <row r="13" ht="63" customHeight="1" s="329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2025-01-24T12:05:55Z</dcterms:modified>
  <cp:lastModifiedBy>REDMIBOOK</cp:lastModifiedBy>
  <cp:lastPrinted>2023-11-30T04:42:39Z</cp:lastPrinted>
</cp:coreProperties>
</file>