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E42" sqref="E42"/>
    </sheetView>
  </sheetViews>
  <sheetFormatPr baseColWidth="8" defaultColWidth="9.140625" defaultRowHeight="15.75"/>
  <cols>
    <col width="9.140625" customWidth="1" style="144" min="1" max="2"/>
    <col width="51.7109375" customWidth="1" style="144" min="3" max="3"/>
    <col width="47" customWidth="1" style="144" min="4" max="4"/>
    <col width="37.42578125" customWidth="1" style="144" min="5" max="5"/>
    <col width="9.140625" customWidth="1" style="144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9" t="n"/>
      <c r="C6" s="169" t="n"/>
      <c r="D6" s="169" t="n"/>
    </row>
    <row r="7" ht="64.5" customHeight="1">
      <c r="B7" s="230" t="inlineStr">
        <is>
          <t>Наименование разрабатываемого показателя УНЦ - Муфта концевая 10 кВ сечением 500 мм2.</t>
        </is>
      </c>
    </row>
    <row r="8" ht="31.5" customHeight="1">
      <c r="B8" s="230" t="inlineStr">
        <is>
          <t>Сопоставимый уровень цен: 01.01.2001</t>
        </is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53" t="n"/>
    </row>
    <row r="12" ht="96.75" customHeight="1">
      <c r="B12" s="234" t="n">
        <v>1</v>
      </c>
      <c r="C12" s="148" t="inlineStr">
        <is>
          <t>Наименование объекта-представителя</t>
        </is>
      </c>
      <c r="D12" s="234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4" t="n">
        <v>2</v>
      </c>
      <c r="C13" s="148" t="inlineStr">
        <is>
          <t>Наименование субъекта Российской Федерации</t>
        </is>
      </c>
      <c r="D13" s="234" t="inlineStr">
        <is>
          <t>Челябинская область</t>
        </is>
      </c>
    </row>
    <row r="14">
      <c r="B14" s="234" t="n">
        <v>3</v>
      </c>
      <c r="C14" s="148" t="inlineStr">
        <is>
          <t>Климатический район и подрайон</t>
        </is>
      </c>
      <c r="D14" s="234" t="inlineStr">
        <is>
          <t>IВ</t>
        </is>
      </c>
    </row>
    <row r="15">
      <c r="B15" s="234" t="n">
        <v>4</v>
      </c>
      <c r="C15" s="148" t="inlineStr">
        <is>
          <t>Мощность объекта</t>
        </is>
      </c>
      <c r="D15" s="234" t="n">
        <v>1</v>
      </c>
    </row>
    <row r="16" ht="116.25" customHeight="1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Муфта концевая 10 кВ сечением 500 мм2</t>
        </is>
      </c>
    </row>
    <row r="17" ht="79.5" customHeight="1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SUM(D18:D21)</f>
        <v/>
      </c>
      <c r="E17" s="168" t="n"/>
    </row>
    <row r="18">
      <c r="B18" s="152" t="inlineStr">
        <is>
          <t>6.1</t>
        </is>
      </c>
      <c r="C18" s="148" t="inlineStr">
        <is>
          <t>строительно-монтажные работы</t>
        </is>
      </c>
      <c r="D18" s="199" t="n">
        <v>41.98</v>
      </c>
    </row>
    <row r="19" ht="15.75" customHeight="1">
      <c r="B19" s="152" t="inlineStr">
        <is>
          <t>6.2</t>
        </is>
      </c>
      <c r="C19" s="148" t="inlineStr">
        <is>
          <t>оборудование и инвентарь</t>
        </is>
      </c>
      <c r="D19" s="199" t="n">
        <v>0</v>
      </c>
    </row>
    <row r="20" ht="16.5" customHeight="1">
      <c r="B20" s="152" t="inlineStr">
        <is>
          <t>6.3</t>
        </is>
      </c>
      <c r="C20" s="148" t="inlineStr">
        <is>
          <t>пусконаладочные работы</t>
        </is>
      </c>
      <c r="D20" s="199" t="n">
        <v>0</v>
      </c>
    </row>
    <row r="21" ht="35.25" customHeight="1">
      <c r="B21" s="152" t="inlineStr">
        <is>
          <t>6.4</t>
        </is>
      </c>
      <c r="C21" s="151" t="inlineStr">
        <is>
          <t>прочие и лимитированные затраты</t>
        </is>
      </c>
      <c r="D21" s="199">
        <f>D18*2.5%+(D18+D18*2.5%)*2.9%</f>
        <v/>
      </c>
    </row>
    <row r="22">
      <c r="B22" s="234" t="n">
        <v>7</v>
      </c>
      <c r="C22" s="151" t="inlineStr">
        <is>
          <t>Сопоставимый уровень цен</t>
        </is>
      </c>
      <c r="D22" s="200" t="inlineStr">
        <is>
          <t>2 кв. 2018 г.</t>
        </is>
      </c>
      <c r="E22" s="149" t="n"/>
    </row>
    <row r="23" ht="123" customHeight="1">
      <c r="B23" s="23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8" t="n"/>
    </row>
    <row r="24" ht="60.75" customHeight="1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9" t="n"/>
    </row>
    <row r="25" ht="48" customHeight="1">
      <c r="B25" s="234" t="n">
        <v>10</v>
      </c>
      <c r="C25" s="148" t="inlineStr">
        <is>
          <t>Примечание</t>
        </is>
      </c>
      <c r="D25" s="234" t="n"/>
    </row>
    <row r="26">
      <c r="B26" s="147" t="n"/>
      <c r="C26" s="146" t="n"/>
      <c r="D26" s="146" t="n"/>
    </row>
    <row r="27" ht="37.5" customHeight="1">
      <c r="B27" s="145" t="n"/>
    </row>
    <row r="28">
      <c r="B28" s="14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4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4" min="1" max="1"/>
    <col width="9.140625" customWidth="1" style="144" min="2" max="2"/>
    <col width="35.28515625" customWidth="1" style="144" min="3" max="3"/>
    <col width="13.85546875" customWidth="1" style="144" min="4" max="4"/>
    <col width="24.85546875" customWidth="1" style="144" min="5" max="5"/>
    <col width="15.5703125" customWidth="1" style="144" min="6" max="6"/>
    <col width="14.85546875" customWidth="1" style="144" min="7" max="7"/>
    <col width="16.7109375" customWidth="1" style="144" min="8" max="8"/>
    <col width="13" customWidth="1" style="144" min="9" max="10"/>
    <col width="18" customWidth="1" style="144" min="11" max="11"/>
    <col width="9.140625" customWidth="1" style="144" min="12" max="12"/>
  </cols>
  <sheetData>
    <row r="3">
      <c r="B3" s="228" t="inlineStr">
        <is>
          <t>Приложение № 2</t>
        </is>
      </c>
      <c r="K3" s="145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9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2 кв. 2018г.,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231" customHeight="1">
      <c r="B12" s="234" t="n">
        <v>1</v>
      </c>
      <c r="C12" s="148" t="inlineStr">
        <is>
          <t>Муфта концевая 10 кВ сечением 500 мм2</t>
        </is>
      </c>
      <c r="D12" s="193" t="inlineStr">
        <is>
          <t>02-01-05</t>
        </is>
      </c>
      <c r="E12" s="148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148" t="n"/>
      <c r="G12" s="194">
        <f>41978.68/1000</f>
        <v/>
      </c>
      <c r="H12" s="195" t="n"/>
      <c r="I12" s="195" t="n"/>
      <c r="J12" s="195">
        <f>SUM(F12:I12)</f>
        <v/>
      </c>
    </row>
    <row r="13" ht="15.75" customHeight="1">
      <c r="B13" s="232" t="inlineStr">
        <is>
          <t>Всего по объекту:</t>
        </is>
      </c>
      <c r="C13" s="317" t="n"/>
      <c r="D13" s="317" t="n"/>
      <c r="E13" s="318" t="n"/>
      <c r="F13" s="196" t="n"/>
      <c r="G13" s="197">
        <f>G12</f>
        <v/>
      </c>
      <c r="H13" s="197" t="n"/>
      <c r="I13" s="197" t="n"/>
      <c r="J13" s="195">
        <f>SUM(F13:I13)</f>
        <v/>
      </c>
    </row>
    <row r="14">
      <c r="B14" s="233" t="inlineStr">
        <is>
          <t>Всего по объекту в сопоставимом уровне цен 2кв. 2018г:</t>
        </is>
      </c>
      <c r="C14" s="313" t="n"/>
      <c r="D14" s="313" t="n"/>
      <c r="E14" s="314" t="n"/>
      <c r="F14" s="117" t="n"/>
      <c r="G14" s="198">
        <f>G13</f>
        <v/>
      </c>
      <c r="H14" s="198" t="n"/>
      <c r="I14" s="198" t="n"/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A12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4" min="1" max="1"/>
    <col width="12.5703125" customWidth="1" style="144" min="2" max="2"/>
    <col width="22.42578125" customWidth="1" style="144" min="3" max="3"/>
    <col width="49.7109375" customWidth="1" style="144" min="4" max="4"/>
    <col width="10.140625" customWidth="1" style="144" min="5" max="5"/>
    <col width="20.7109375" customWidth="1" style="144" min="6" max="6"/>
    <col width="20" customWidth="1" style="144" min="7" max="7"/>
    <col width="16.7109375" customWidth="1" style="144" min="8" max="8"/>
    <col width="9.140625" customWidth="1" style="144" min="9" max="10"/>
    <col width="15" customWidth="1" style="144" min="11" max="11"/>
    <col width="9.140625" customWidth="1" style="144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40" t="inlineStr">
        <is>
          <t>Наименование разрабатываемого показателя УНЦ -  Муфта концевая 10 кВ сечением 500 мм2.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4" t="inlineStr">
        <is>
          <t>на ед.изм.</t>
        </is>
      </c>
      <c r="H9" s="234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57">
      <c r="A11" s="237" t="inlineStr">
        <is>
          <t>Затраты труда рабочих</t>
        </is>
      </c>
      <c r="B11" s="313" t="n"/>
      <c r="C11" s="313" t="n"/>
      <c r="D11" s="313" t="n"/>
      <c r="E11" s="314" t="n"/>
      <c r="F11" s="319">
        <f>SUM(F12:F12)</f>
        <v/>
      </c>
      <c r="G11" s="10" t="n"/>
      <c r="H11" s="320">
        <f>SUM(H12:H12)</f>
        <v/>
      </c>
    </row>
    <row r="12">
      <c r="A12" s="267" t="n">
        <v>1</v>
      </c>
      <c r="B12" s="160" t="n"/>
      <c r="C12" s="136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6" t="n">
        <v>14.52</v>
      </c>
      <c r="G12" s="321" t="n">
        <v>9.4</v>
      </c>
      <c r="H12" s="185">
        <f>ROUND(F12*G12,2)</f>
        <v/>
      </c>
      <c r="M12" s="322" t="n"/>
    </row>
    <row r="13">
      <c r="A13" s="236" t="inlineStr">
        <is>
          <t>Затраты труда машинистов</t>
        </is>
      </c>
      <c r="B13" s="313" t="n"/>
      <c r="C13" s="313" t="n"/>
      <c r="D13" s="313" t="n"/>
      <c r="E13" s="314" t="n"/>
      <c r="F13" s="237" t="n"/>
      <c r="G13" s="158" t="n"/>
      <c r="H13" s="320">
        <f>H14</f>
        <v/>
      </c>
    </row>
    <row r="14">
      <c r="A14" s="267" t="n">
        <v>2</v>
      </c>
      <c r="B14" s="238" t="n"/>
      <c r="C14" s="178" t="n">
        <v>2</v>
      </c>
      <c r="D14" s="172" t="inlineStr">
        <is>
          <t>Затраты труда машинистов</t>
        </is>
      </c>
      <c r="E14" s="267" t="inlineStr">
        <is>
          <t>чел.-ч</t>
        </is>
      </c>
      <c r="F14" s="267" t="n">
        <v>12.06</v>
      </c>
      <c r="G14" s="170" t="n"/>
      <c r="H14" s="186" t="n">
        <v>162.82</v>
      </c>
    </row>
    <row r="15" customFormat="1" s="157">
      <c r="A15" s="237" t="inlineStr">
        <is>
          <t>Машины и механизмы</t>
        </is>
      </c>
      <c r="B15" s="313" t="n"/>
      <c r="C15" s="313" t="n"/>
      <c r="D15" s="313" t="n"/>
      <c r="E15" s="314" t="n"/>
      <c r="F15" s="237" t="n"/>
      <c r="G15" s="158" t="n"/>
      <c r="H15" s="320">
        <f>SUM(H16:H16)</f>
        <v/>
      </c>
    </row>
    <row r="16">
      <c r="A16" s="267" t="n">
        <v>3</v>
      </c>
      <c r="B16" s="238" t="n"/>
      <c r="C16" s="178" t="inlineStr">
        <is>
          <t>91.06.09-001</t>
        </is>
      </c>
      <c r="D16" s="172" t="inlineStr">
        <is>
          <t>Вышки телескопические 25 м</t>
        </is>
      </c>
      <c r="E16" s="246" t="inlineStr">
        <is>
          <t>маш.час</t>
        </is>
      </c>
      <c r="F16" s="267" t="n">
        <v>12.06</v>
      </c>
      <c r="G16" s="183" t="n">
        <v>142.7</v>
      </c>
      <c r="H16" s="185">
        <f>ROUND(F16*G16,2)</f>
        <v/>
      </c>
      <c r="I16" s="181" t="n"/>
      <c r="J16" s="181" t="n"/>
      <c r="L16" s="181" t="n"/>
    </row>
    <row r="17">
      <c r="A17" s="237" t="inlineStr">
        <is>
          <t>Материалы</t>
        </is>
      </c>
      <c r="B17" s="313" t="n"/>
      <c r="C17" s="313" t="n"/>
      <c r="D17" s="313" t="n"/>
      <c r="E17" s="314" t="n"/>
      <c r="F17" s="237" t="n"/>
      <c r="G17" s="158" t="n"/>
      <c r="H17" s="320">
        <f>SUM(H18:H21)</f>
        <v/>
      </c>
    </row>
    <row r="18">
      <c r="A18" s="189" t="n">
        <v>4</v>
      </c>
      <c r="B18" s="189" t="n"/>
      <c r="C18" s="267" t="inlineStr">
        <is>
          <t>Прайс из СД ОП</t>
        </is>
      </c>
      <c r="D18" s="188" t="inlineStr">
        <is>
          <t>Муфта концевая 10 кВ сечением 500 мм2</t>
        </is>
      </c>
      <c r="E18" s="267" t="inlineStr">
        <is>
          <t>шт</t>
        </is>
      </c>
      <c r="F18" s="267" t="n">
        <v>6</v>
      </c>
      <c r="G18" s="188" t="n">
        <v>811.45</v>
      </c>
      <c r="H18" s="185">
        <f>ROUND(F18*G18,2)</f>
        <v/>
      </c>
    </row>
    <row r="19">
      <c r="A19" s="173" t="n">
        <v>5</v>
      </c>
      <c r="B19" s="238" t="n"/>
      <c r="C19" s="178" t="inlineStr">
        <is>
          <t>01.3.01.01-0001</t>
        </is>
      </c>
      <c r="D19" s="172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70" t="n">
        <v>4488.4</v>
      </c>
      <c r="H19" s="185">
        <f>ROUND(F19*G19,2)</f>
        <v/>
      </c>
      <c r="I19" s="167" t="n"/>
      <c r="J19" s="181" t="n"/>
      <c r="K19" s="181" t="n"/>
    </row>
    <row r="20">
      <c r="A20" s="173" t="n">
        <v>6</v>
      </c>
      <c r="B20" s="238" t="n"/>
      <c r="C20" s="178" t="inlineStr">
        <is>
          <t>01.7.06.07-0002</t>
        </is>
      </c>
      <c r="D20" s="172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70" t="n">
        <v>6.9</v>
      </c>
      <c r="H20" s="185">
        <f>ROUND(F20*G20,2)</f>
        <v/>
      </c>
      <c r="I20" s="167" t="n"/>
      <c r="J20" s="181" t="n"/>
      <c r="K20" s="181" t="n"/>
    </row>
    <row r="21">
      <c r="A21" s="189" t="n">
        <v>7</v>
      </c>
      <c r="B21" s="238" t="n"/>
      <c r="C21" s="178" t="inlineStr">
        <is>
          <t>01.3.01.05-0009</t>
        </is>
      </c>
      <c r="D21" s="172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70" t="n">
        <v>8105.71</v>
      </c>
      <c r="H21" s="185">
        <f>ROUND(F21*G21,2)</f>
        <v/>
      </c>
      <c r="I21" s="167" t="n"/>
      <c r="J21" s="181" t="n"/>
      <c r="K21" s="181" t="n"/>
    </row>
    <row r="23">
      <c r="B23" s="144" t="inlineStr">
        <is>
          <t>Составил ______________________     А.Р. Маркова</t>
        </is>
      </c>
    </row>
    <row r="24">
      <c r="B24" s="145" t="inlineStr">
        <is>
          <t xml:space="preserve">                         (подпись, инициалы, фамилия)</t>
        </is>
      </c>
    </row>
    <row r="26">
      <c r="B26" s="144" t="inlineStr">
        <is>
          <t>Проверил ______________________        А.В. Костянецкая</t>
        </is>
      </c>
    </row>
    <row r="27">
      <c r="B27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6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10 кВ сечением 500 мм2.</t>
        </is>
      </c>
    </row>
    <row r="8">
      <c r="B8" s="242" t="inlineStr">
        <is>
          <t>Единица измерения  — 1 ед</t>
        </is>
      </c>
    </row>
    <row r="9">
      <c r="B9" s="166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3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3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3">
        <f>'Прил.5 Расчет СМР и ОБ'!J37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3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3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4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3">
        <f>C40/'Прил.5 Расчет СМР и ОБ'!E44</f>
        <v/>
      </c>
      <c r="D41" s="25" t="n"/>
      <c r="E41" s="25" t="n"/>
    </row>
    <row r="42">
      <c r="B42" s="162" t="n"/>
      <c r="C42" s="4" t="n"/>
      <c r="D42" s="4" t="n"/>
      <c r="E42" s="4" t="n"/>
    </row>
    <row r="43">
      <c r="B43" s="16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2" t="n"/>
      <c r="C45" s="4" t="n"/>
      <c r="D45" s="4" t="n"/>
      <c r="E45" s="4" t="n"/>
    </row>
    <row r="46">
      <c r="B46" s="16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70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8" t="inlineStr">
        <is>
          <t>Наименование разрабатываемого показателя УНЦ</t>
        </is>
      </c>
      <c r="B6" s="137" t="n"/>
      <c r="C6" s="137" t="n"/>
      <c r="D6" s="249" t="inlineStr">
        <is>
          <t>Муфта концевая 10 кВ сечением 500 мм2.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4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6" t="inlineStr">
        <is>
          <t>на ед. изм.</t>
        </is>
      </c>
      <c r="G11" s="246" t="inlineStr">
        <is>
          <t>общая</t>
        </is>
      </c>
      <c r="H11" s="316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7" t="n">
        <v>9</v>
      </c>
      <c r="J12" s="247" t="n">
        <v>10</v>
      </c>
      <c r="M12" s="12" t="n"/>
      <c r="N12" s="12" t="n"/>
    </row>
    <row r="13">
      <c r="A13" s="246" t="n"/>
      <c r="B13" s="236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6" t="n"/>
      <c r="J13" s="126" t="n"/>
    </row>
    <row r="14" ht="25.5" customHeight="1">
      <c r="A14" s="246" t="n">
        <v>1</v>
      </c>
      <c r="B14" s="136" t="inlineStr">
        <is>
          <t>1-3-8</t>
        </is>
      </c>
      <c r="C14" s="254" t="inlineStr">
        <is>
          <t>Затраты труда рабочих-строителей среднего разряда (3,8)</t>
        </is>
      </c>
      <c r="D14" s="246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9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6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7" t="n">
        <v>1</v>
      </c>
      <c r="I15" s="126" t="n"/>
      <c r="J15" s="32">
        <f>SUM(J14:J14)</f>
        <v/>
      </c>
    </row>
    <row r="16" ht="14.25" customFormat="1" customHeight="1" s="12">
      <c r="A16" s="246" t="n"/>
      <c r="B16" s="254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6" t="n"/>
      <c r="J16" s="126" t="n"/>
    </row>
    <row r="17" ht="14.25" customFormat="1" customHeight="1" s="12">
      <c r="A17" s="246" t="n">
        <v>2</v>
      </c>
      <c r="B17" s="246" t="n">
        <v>2</v>
      </c>
      <c r="C17" s="254" t="inlineStr">
        <is>
          <t>Затраты труда машинистов</t>
        </is>
      </c>
      <c r="D17" s="246" t="inlineStr">
        <is>
          <t>чел.-ч.</t>
        </is>
      </c>
      <c r="E17" s="324" t="n">
        <v>12.06</v>
      </c>
      <c r="F17" s="32">
        <f>G17/E17</f>
        <v/>
      </c>
      <c r="G17" s="32">
        <f>'Прил. 3'!H13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6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6" t="n"/>
      <c r="J18" s="126" t="n"/>
    </row>
    <row r="19" ht="14.25" customFormat="1" customHeight="1" s="12">
      <c r="A19" s="246" t="n"/>
      <c r="B19" s="254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6" t="n"/>
      <c r="J19" s="126" t="n"/>
    </row>
    <row r="20" ht="14.25" customFormat="1" customHeight="1" s="12">
      <c r="A20" s="246" t="n">
        <v>3</v>
      </c>
      <c r="B20" s="178" t="inlineStr">
        <is>
          <t>91.06.09-001</t>
        </is>
      </c>
      <c r="C20" s="172" t="inlineStr">
        <is>
          <t>Вышки телескопические 25 м</t>
        </is>
      </c>
      <c r="D20" s="246" t="inlineStr">
        <is>
          <t>маш.час</t>
        </is>
      </c>
      <c r="E20" s="325" t="n">
        <v>12.06</v>
      </c>
      <c r="F20" s="183" t="n">
        <v>142.7</v>
      </c>
      <c r="G20" s="32">
        <f>ROUND(E20*F20,2)</f>
        <v/>
      </c>
      <c r="H20" s="129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/>
      <c r="B21" s="246" t="n"/>
      <c r="C21" s="254" t="inlineStr">
        <is>
          <t>Итого основные машины и механизмы</t>
        </is>
      </c>
      <c r="D21" s="246" t="n"/>
      <c r="E21" s="324" t="n"/>
      <c r="F21" s="32" t="n"/>
      <c r="G21" s="32">
        <f>SUM(G20:G20)</f>
        <v/>
      </c>
      <c r="H21" s="257">
        <f>G21/G23</f>
        <v/>
      </c>
      <c r="I21" s="128" t="n"/>
      <c r="J21" s="32">
        <f>SUM(J20:J20)</f>
        <v/>
      </c>
    </row>
    <row r="22" ht="14.25" customFormat="1" customHeight="1" s="12">
      <c r="A22" s="246" t="n"/>
      <c r="B22" s="246" t="n"/>
      <c r="C22" s="254" t="inlineStr">
        <is>
          <t>Итого прочие машины и механизмы</t>
        </is>
      </c>
      <c r="D22" s="246" t="n"/>
      <c r="E22" s="255" t="n"/>
      <c r="F22" s="32" t="n"/>
      <c r="G22" s="128" t="n">
        <v>0</v>
      </c>
      <c r="H22" s="129">
        <f>G22/G23</f>
        <v/>
      </c>
      <c r="I22" s="32" t="n"/>
      <c r="J22" s="32" t="n">
        <v>0</v>
      </c>
    </row>
    <row r="23" ht="25.5" customFormat="1" customHeight="1" s="12">
      <c r="A23" s="246" t="n"/>
      <c r="B23" s="246" t="n"/>
      <c r="C23" s="236" t="inlineStr">
        <is>
          <t>Итого по разделу «Машины и механизмы»</t>
        </is>
      </c>
      <c r="D23" s="246" t="n"/>
      <c r="E23" s="255" t="n"/>
      <c r="F23" s="32" t="n"/>
      <c r="G23" s="32">
        <f>G22+G21</f>
        <v/>
      </c>
      <c r="H23" s="130" t="n">
        <v>1</v>
      </c>
      <c r="I23" s="131" t="n"/>
      <c r="J23" s="132">
        <f>J22+J21</f>
        <v/>
      </c>
    </row>
    <row r="24" ht="14.25" customFormat="1" customHeight="1" s="12">
      <c r="A24" s="246" t="n"/>
      <c r="B24" s="236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6" t="n"/>
      <c r="J24" s="126" t="n"/>
    </row>
    <row r="25">
      <c r="A25" s="246" t="n"/>
      <c r="B25" s="254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6" t="n"/>
      <c r="J25" s="126" t="n"/>
    </row>
    <row r="26">
      <c r="A26" s="246" t="n"/>
      <c r="B26" s="246" t="n"/>
      <c r="C26" s="254" t="inlineStr">
        <is>
          <t>Итого основное оборудование</t>
        </is>
      </c>
      <c r="D26" s="246" t="n"/>
      <c r="E26" s="326" t="n"/>
      <c r="F26" s="256" t="n"/>
      <c r="G26" s="32" t="n">
        <v>0</v>
      </c>
      <c r="H26" s="129" t="n">
        <v>0</v>
      </c>
      <c r="I26" s="128" t="n"/>
      <c r="J26" s="32" t="n">
        <v>0</v>
      </c>
    </row>
    <row r="27">
      <c r="A27" s="246" t="n"/>
      <c r="B27" s="246" t="n"/>
      <c r="C27" s="254" t="inlineStr">
        <is>
          <t>Итого прочее оборудование</t>
        </is>
      </c>
      <c r="D27" s="246" t="n"/>
      <c r="E27" s="324" t="n"/>
      <c r="F27" s="256" t="n"/>
      <c r="G27" s="32" t="n">
        <v>0</v>
      </c>
      <c r="H27" s="129" t="n">
        <v>0</v>
      </c>
      <c r="I27" s="128" t="n"/>
      <c r="J27" s="32" t="n">
        <v>0</v>
      </c>
    </row>
    <row r="28">
      <c r="A28" s="246" t="n"/>
      <c r="B28" s="246" t="n"/>
      <c r="C28" s="236" t="inlineStr">
        <is>
          <t>Итого по разделу «Оборудование»</t>
        </is>
      </c>
      <c r="D28" s="246" t="n"/>
      <c r="E28" s="255" t="n"/>
      <c r="F28" s="256" t="n"/>
      <c r="G28" s="32">
        <f>G26+G27</f>
        <v/>
      </c>
      <c r="H28" s="129" t="n">
        <v>0</v>
      </c>
      <c r="I28" s="128" t="n"/>
      <c r="J28" s="32">
        <f>J27+J26</f>
        <v/>
      </c>
    </row>
    <row r="29" ht="25.5" customHeight="1">
      <c r="A29" s="246" t="n"/>
      <c r="B29" s="246" t="n"/>
      <c r="C29" s="254" t="inlineStr">
        <is>
          <t>в том числе технологическое оборудование</t>
        </is>
      </c>
      <c r="D29" s="246" t="n"/>
      <c r="E29" s="326" t="n"/>
      <c r="F29" s="256" t="n"/>
      <c r="G29" s="32">
        <f>'Прил.6 Расчет ОБ'!G12</f>
        <v/>
      </c>
      <c r="H29" s="257" t="n"/>
      <c r="I29" s="128" t="n"/>
      <c r="J29" s="32">
        <f>J28</f>
        <v/>
      </c>
    </row>
    <row r="30" ht="14.25" customFormat="1" customHeight="1" s="12">
      <c r="A30" s="246" t="n"/>
      <c r="B30" s="236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6" t="n"/>
      <c r="J30" s="126" t="n"/>
    </row>
    <row r="31" ht="14.25" customFormat="1" customHeight="1" s="12">
      <c r="A31" s="247" t="n"/>
      <c r="B31" s="250" t="inlineStr">
        <is>
          <t>Основные материалы</t>
        </is>
      </c>
      <c r="C31" s="327" t="n"/>
      <c r="D31" s="327" t="n"/>
      <c r="E31" s="327" t="n"/>
      <c r="F31" s="327" t="n"/>
      <c r="G31" s="327" t="n"/>
      <c r="H31" s="328" t="n"/>
      <c r="I31" s="139" t="n"/>
      <c r="J31" s="139" t="n"/>
    </row>
    <row r="32" ht="14.25" customFormat="1" customHeight="1" s="12">
      <c r="A32" s="246" t="n">
        <v>6</v>
      </c>
      <c r="B32" s="246" t="inlineStr">
        <is>
          <t>БЦ.91.46</t>
        </is>
      </c>
      <c r="C32" s="172" t="inlineStr">
        <is>
          <t>Муфта концевая 10 кВ сечением 500 мм2</t>
        </is>
      </c>
      <c r="D32" s="246" t="inlineStr">
        <is>
          <t>шт</t>
        </is>
      </c>
      <c r="E32" s="326" t="n">
        <v>6</v>
      </c>
      <c r="F32" s="256">
        <f>ROUND(I32/'Прил. 10'!$D$13,2)</f>
        <v/>
      </c>
      <c r="G32" s="32">
        <f>ROUND(E32*F32,2)</f>
        <v/>
      </c>
      <c r="H32" s="129">
        <f>G32/$G$38</f>
        <v/>
      </c>
      <c r="I32" s="32" t="n">
        <v>3734.04</v>
      </c>
      <c r="J32" s="32">
        <f>ROUND(I32*E32,2)</f>
        <v/>
      </c>
    </row>
    <row r="33" ht="14.25" customFormat="1" customHeight="1" s="12">
      <c r="A33" s="248" t="n"/>
      <c r="B33" s="141" t="n"/>
      <c r="C33" s="142" t="inlineStr">
        <is>
          <t>Итого основные материалы</t>
        </is>
      </c>
      <c r="D33" s="248" t="n"/>
      <c r="E33" s="329" t="n"/>
      <c r="F33" s="132" t="n"/>
      <c r="G33" s="132">
        <f>SUM(G32:G32)</f>
        <v/>
      </c>
      <c r="H33" s="129">
        <f>G33/$G$38</f>
        <v/>
      </c>
      <c r="I33" s="32" t="n"/>
      <c r="J33" s="132">
        <f>SUM(J32:J32)</f>
        <v/>
      </c>
    </row>
    <row r="34" outlineLevel="1" ht="14.25" customFormat="1" customHeight="1" s="12">
      <c r="A34" s="246" t="n">
        <v>7</v>
      </c>
      <c r="B34" s="178" t="inlineStr">
        <is>
          <t>01.3.01.01-0001</t>
        </is>
      </c>
      <c r="C34" s="172" t="inlineStr">
        <is>
          <t>Бензин авиационный Б-70</t>
        </is>
      </c>
      <c r="D34" s="267" t="inlineStr">
        <is>
          <t>т</t>
        </is>
      </c>
      <c r="E34" s="325" t="n">
        <v>0.0008</v>
      </c>
      <c r="F34" s="170" t="n">
        <v>4488.4</v>
      </c>
      <c r="G34" s="32">
        <f>ROUND(E34*F34,2)</f>
        <v/>
      </c>
      <c r="H34" s="129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6" t="n">
        <v>8</v>
      </c>
      <c r="B35" s="178" t="inlineStr">
        <is>
          <t>01.7.06.07-0002</t>
        </is>
      </c>
      <c r="C35" s="172" t="inlineStr">
        <is>
          <t>Лента монтажная, тип ЛМ-5</t>
        </is>
      </c>
      <c r="D35" s="267" t="inlineStr">
        <is>
          <t>10 м</t>
        </is>
      </c>
      <c r="E35" s="325" t="n">
        <v>0.048</v>
      </c>
      <c r="F35" s="170" t="n">
        <v>6.9</v>
      </c>
      <c r="G35" s="32">
        <f>ROUND(E35*F35,2)</f>
        <v/>
      </c>
      <c r="H35" s="129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9</v>
      </c>
      <c r="B36" s="178" t="inlineStr">
        <is>
          <t>01.3.01.05-0009</t>
        </is>
      </c>
      <c r="C36" s="172" t="inlineStr">
        <is>
          <t>Парафин нефтяной твердый Т-1</t>
        </is>
      </c>
      <c r="D36" s="267" t="inlineStr">
        <is>
          <t>т</t>
        </is>
      </c>
      <c r="E36" s="325" t="n">
        <v>2e-05</v>
      </c>
      <c r="F36" s="170" t="n">
        <v>8105.71</v>
      </c>
      <c r="G36" s="32">
        <f>ROUND(E36*F36,2)</f>
        <v/>
      </c>
      <c r="H36" s="129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8" t="n"/>
      <c r="B37" s="248" t="n"/>
      <c r="C37" s="142" t="inlineStr">
        <is>
          <t>Итого прочие материалы</t>
        </is>
      </c>
      <c r="D37" s="248" t="n"/>
      <c r="E37" s="329" t="n"/>
      <c r="F37" s="180" t="n"/>
      <c r="G37" s="132">
        <f>SUM(G34:G36)</f>
        <v/>
      </c>
      <c r="H37" s="129">
        <f>G37/$G$38</f>
        <v/>
      </c>
      <c r="I37" s="32" t="n"/>
      <c r="J37" s="32">
        <f>SUM(J34:J36)</f>
        <v/>
      </c>
    </row>
    <row r="38" ht="14.25" customFormat="1" customHeight="1" s="12">
      <c r="A38" s="246" t="n"/>
      <c r="B38" s="246" t="n"/>
      <c r="C38" s="236" t="inlineStr">
        <is>
          <t>Итого по разделу «Материалы»</t>
        </is>
      </c>
      <c r="D38" s="246" t="n"/>
      <c r="E38" s="255" t="n"/>
      <c r="F38" s="256" t="n"/>
      <c r="G38" s="32">
        <f>G33+G37</f>
        <v/>
      </c>
      <c r="H38" s="257">
        <f>G38/$G$38</f>
        <v/>
      </c>
      <c r="I38" s="32" t="n"/>
      <c r="J38" s="32">
        <f>J33+J37</f>
        <v/>
      </c>
    </row>
    <row r="39" ht="14.25" customFormat="1" customHeight="1" s="12">
      <c r="A39" s="246" t="n"/>
      <c r="B39" s="246" t="n"/>
      <c r="C39" s="254" t="inlineStr">
        <is>
          <t>ИТОГО ПО РМ</t>
        </is>
      </c>
      <c r="D39" s="246" t="n"/>
      <c r="E39" s="255" t="n"/>
      <c r="F39" s="256" t="n"/>
      <c r="G39" s="32">
        <f>G15+G23+G38</f>
        <v/>
      </c>
      <c r="H39" s="257" t="n"/>
      <c r="I39" s="32" t="n"/>
      <c r="J39" s="32">
        <f>J15+J23+J38</f>
        <v/>
      </c>
    </row>
    <row r="40" ht="14.25" customFormat="1" customHeight="1" s="12">
      <c r="A40" s="246" t="n"/>
      <c r="B40" s="246" t="n"/>
      <c r="C40" s="254" t="inlineStr">
        <is>
          <t>Накладные расходы</t>
        </is>
      </c>
      <c r="D40" s="134">
        <f>ROUND(G40/(G$17+$G$15),2)</f>
        <v/>
      </c>
      <c r="E40" s="255" t="n"/>
      <c r="F40" s="256" t="n"/>
      <c r="G40" s="32" t="n">
        <v>290.32</v>
      </c>
      <c r="H40" s="257" t="n"/>
      <c r="I40" s="32" t="n"/>
      <c r="J40" s="32">
        <f>ROUND(D40*(J15+J17),2)</f>
        <v/>
      </c>
    </row>
    <row r="41" ht="14.25" customFormat="1" customHeight="1" s="12">
      <c r="A41" s="246" t="n"/>
      <c r="B41" s="246" t="n"/>
      <c r="C41" s="254" t="inlineStr">
        <is>
          <t>Сметная прибыль</t>
        </is>
      </c>
      <c r="D41" s="134">
        <f>ROUND(G41/(G$15+G$17),2)</f>
        <v/>
      </c>
      <c r="E41" s="255" t="n"/>
      <c r="F41" s="256" t="n"/>
      <c r="G41" s="32" t="n">
        <v>152.64</v>
      </c>
      <c r="H41" s="257" t="n"/>
      <c r="I41" s="32" t="n"/>
      <c r="J41" s="32">
        <f>ROUND(D41*(J15+J17),2)</f>
        <v/>
      </c>
    </row>
    <row r="42" ht="14.25" customFormat="1" customHeight="1" s="12">
      <c r="A42" s="246" t="n"/>
      <c r="B42" s="246" t="n"/>
      <c r="C42" s="254" t="inlineStr">
        <is>
          <t>Итого СМР (с НР и СП)</t>
        </is>
      </c>
      <c r="D42" s="246" t="n"/>
      <c r="E42" s="255" t="n"/>
      <c r="F42" s="256" t="n"/>
      <c r="G42" s="32">
        <f>G15+G23+G38+G40+G41</f>
        <v/>
      </c>
      <c r="H42" s="257" t="n"/>
      <c r="I42" s="32" t="n"/>
      <c r="J42" s="32">
        <f>J15+J23+J38+J40+J41</f>
        <v/>
      </c>
    </row>
    <row r="43" ht="14.25" customFormat="1" customHeight="1" s="12">
      <c r="A43" s="246" t="n"/>
      <c r="B43" s="246" t="n"/>
      <c r="C43" s="254" t="inlineStr">
        <is>
          <t>ВСЕГО СМР + ОБОРУДОВАНИЕ</t>
        </is>
      </c>
      <c r="D43" s="246" t="n"/>
      <c r="E43" s="255" t="n"/>
      <c r="F43" s="256" t="n"/>
      <c r="G43" s="32">
        <f>G42+G28</f>
        <v/>
      </c>
      <c r="H43" s="257" t="n"/>
      <c r="I43" s="32" t="n"/>
      <c r="J43" s="32">
        <f>J42+J28</f>
        <v/>
      </c>
    </row>
    <row r="44" ht="34.5" customFormat="1" customHeight="1" s="12">
      <c r="A44" s="246" t="n"/>
      <c r="B44" s="246" t="n"/>
      <c r="C44" s="254" t="inlineStr">
        <is>
          <t>ИТОГО ПОКАЗАТЕЛЬ НА ЕД. ИЗМ.</t>
        </is>
      </c>
      <c r="D44" s="246" t="inlineStr">
        <is>
          <t>1 ед</t>
        </is>
      </c>
      <c r="E44" s="326" t="n">
        <v>1</v>
      </c>
      <c r="F44" s="256" t="n"/>
      <c r="G44" s="32">
        <f>G43/E44</f>
        <v/>
      </c>
      <c r="H44" s="257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10 кВ сечением 500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6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54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6" t="n"/>
      <c r="B10" s="236" t="n"/>
      <c r="C10" s="254" t="inlineStr">
        <is>
          <t>ИТОГО ИНЖЕНЕРНОЕ ОБОРУДОВАНИЕ</t>
        </is>
      </c>
      <c r="D10" s="236" t="n"/>
      <c r="E10" s="105" t="n"/>
      <c r="F10" s="256" t="n"/>
      <c r="G10" s="256" t="n">
        <v>0</v>
      </c>
    </row>
    <row r="11">
      <c r="A11" s="246" t="n"/>
      <c r="B11" s="254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6" t="n"/>
      <c r="B12" s="254" t="n"/>
      <c r="C12" s="254" t="inlineStr">
        <is>
          <t>ИТОГО ТЕХНОЛОГИЧЕСКОЕ ОБОРУДОВАНИЕ</t>
        </is>
      </c>
      <c r="D12" s="254" t="n"/>
      <c r="E12" s="266" t="n"/>
      <c r="F12" s="256" t="n"/>
      <c r="G12" s="32" t="n">
        <v>0</v>
      </c>
    </row>
    <row r="13" ht="19.5" customHeight="1">
      <c r="A13" s="246" t="n"/>
      <c r="B13" s="254" t="n"/>
      <c r="C13" s="254" t="inlineStr">
        <is>
          <t>Всего по разделу «Оборудование»</t>
        </is>
      </c>
      <c r="D13" s="254" t="n"/>
      <c r="E13" s="266" t="n"/>
      <c r="F13" s="25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144" t="n"/>
      <c r="B1" s="144" t="n"/>
      <c r="C1" s="144" t="n"/>
      <c r="D1" s="144" t="inlineStr">
        <is>
          <t>Приложение №7</t>
        </is>
      </c>
    </row>
    <row r="2" ht="15.75" customHeight="1">
      <c r="A2" s="144" t="n"/>
      <c r="B2" s="144" t="n"/>
      <c r="C2" s="144" t="n"/>
      <c r="D2" s="144" t="n"/>
    </row>
    <row r="3" ht="15.75" customHeight="1">
      <c r="A3" s="144" t="n"/>
      <c r="B3" s="157" t="inlineStr">
        <is>
          <t>Расчет показателя УНЦ</t>
        </is>
      </c>
      <c r="C3" s="144" t="n"/>
      <c r="D3" s="144" t="n"/>
    </row>
    <row r="4" ht="15.75" customHeight="1">
      <c r="A4" s="144" t="n"/>
      <c r="B4" s="144" t="n"/>
      <c r="C4" s="144" t="n"/>
      <c r="D4" s="144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4" t="inlineStr">
        <is>
          <t>Единица измерения  — 1 ед</t>
        </is>
      </c>
      <c r="B6" s="144" t="n"/>
      <c r="C6" s="144" t="n"/>
      <c r="D6" s="144" t="n"/>
    </row>
    <row r="7" ht="15.75" customHeight="1">
      <c r="A7" s="144" t="n"/>
      <c r="B7" s="144" t="n"/>
      <c r="C7" s="144" t="n"/>
      <c r="D7" s="144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4" t="n">
        <v>1</v>
      </c>
      <c r="B10" s="234" t="n">
        <v>2</v>
      </c>
      <c r="C10" s="234" t="n">
        <v>3</v>
      </c>
      <c r="D10" s="234" t="n">
        <v>4</v>
      </c>
    </row>
    <row r="11" ht="31.5" customHeight="1">
      <c r="A11" s="234" t="inlineStr">
        <is>
          <t>К2-11-2</t>
        </is>
      </c>
      <c r="B11" s="234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8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>
      <c r="B10" s="234" t="n">
        <v>1</v>
      </c>
      <c r="C10" s="234" t="n">
        <v>2</v>
      </c>
      <c r="D10" s="234" t="n">
        <v>3</v>
      </c>
    </row>
    <row r="11" ht="47.25" customHeight="1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47.25" customHeight="1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10.77</v>
      </c>
    </row>
    <row r="13" ht="47.25" customHeight="1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4.39</v>
      </c>
    </row>
    <row r="14" ht="31.5" customHeight="1">
      <c r="B14" s="23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4" t="n">
        <v>6.26</v>
      </c>
    </row>
    <row r="15" ht="94.5" customHeight="1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1" t="n">
        <v>0.025</v>
      </c>
    </row>
    <row r="16" ht="94.5" customHeight="1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1" t="n">
        <v>0.021</v>
      </c>
    </row>
    <row r="17" ht="15.75" customHeight="1">
      <c r="B17" s="234" t="inlineStr">
        <is>
          <t>Пусконаладочные работы*</t>
        </is>
      </c>
      <c r="C17" s="234" t="n"/>
      <c r="D17" s="121" t="inlineStr">
        <is>
          <t>Расчет</t>
        </is>
      </c>
    </row>
    <row r="18" ht="31.5" customHeight="1">
      <c r="B18" s="234" t="inlineStr">
        <is>
          <t>Строительный контроль</t>
        </is>
      </c>
      <c r="C18" s="234" t="inlineStr">
        <is>
          <t>Постановление Правительства РФ от 21.06.10 г. № 468</t>
        </is>
      </c>
      <c r="D18" s="121" t="n">
        <v>0.0214</v>
      </c>
    </row>
    <row r="19" ht="31.5" customHeight="1">
      <c r="B19" s="234" t="inlineStr">
        <is>
          <t>Авторский надзор - 0,2%</t>
        </is>
      </c>
      <c r="C19" s="234" t="inlineStr">
        <is>
          <t>Приказ от 4.08.2020 № 421/пр п.173</t>
        </is>
      </c>
      <c r="D19" s="121" t="n">
        <v>0.002</v>
      </c>
    </row>
    <row r="20" ht="31.5" customHeight="1">
      <c r="B20" s="234" t="inlineStr">
        <is>
          <t>Непредвиденные расходы</t>
        </is>
      </c>
      <c r="C20" s="234" t="inlineStr">
        <is>
          <t>Приказ от 4.08.2020 № 421/пр п.179</t>
        </is>
      </c>
      <c r="D20" s="121" t="n">
        <v>0.03</v>
      </c>
    </row>
    <row r="21" ht="18.75" customHeight="1">
      <c r="B21" s="119" t="n"/>
    </row>
    <row r="22" ht="18.75" customHeight="1">
      <c r="B22" s="119" t="n"/>
    </row>
    <row r="23" ht="18.75" customHeight="1">
      <c r="B23" s="119" t="n"/>
    </row>
    <row r="24" ht="18.75" customHeight="1">
      <c r="B24" s="119" t="n"/>
    </row>
    <row r="27">
      <c r="B27" s="209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4" t="n"/>
      <c r="C4" s="144" t="n"/>
      <c r="D4" s="144" t="n"/>
      <c r="E4" s="144" t="n"/>
      <c r="F4" s="144" t="n"/>
      <c r="G4" s="144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4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4" t="n"/>
    </row>
    <row r="7" ht="110.25" customHeight="1">
      <c r="A7" s="203" t="inlineStr">
        <is>
          <t>1.1</t>
        </is>
      </c>
      <c r="B7" s="2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61" t="n">
        <v>47872.94</v>
      </c>
      <c r="F7" s="2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4" t="n"/>
    </row>
    <row r="8" ht="31.5" customHeight="1">
      <c r="A8" s="203" t="inlineStr">
        <is>
          <t>1.2</t>
        </is>
      </c>
      <c r="B8" s="204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92">
        <f>1973/12</f>
        <v/>
      </c>
      <c r="F8" s="204" t="inlineStr">
        <is>
          <t>Производственный календарь 2023 год
(40-часов.неделя)</t>
        </is>
      </c>
      <c r="G8" s="205" t="n"/>
    </row>
    <row r="9" ht="15.75" customHeight="1">
      <c r="A9" s="203" t="inlineStr">
        <is>
          <t>1.3</t>
        </is>
      </c>
      <c r="B9" s="204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92" t="n">
        <v>1</v>
      </c>
      <c r="F9" s="204" t="n"/>
      <c r="G9" s="205" t="n"/>
    </row>
    <row r="10" ht="15.75" customHeight="1">
      <c r="A10" s="203" t="inlineStr">
        <is>
          <t>1.4</t>
        </is>
      </c>
      <c r="B10" s="204" t="inlineStr">
        <is>
          <t>Средний разряд работ</t>
        </is>
      </c>
      <c r="C10" s="234" t="n"/>
      <c r="D10" s="234" t="n"/>
      <c r="E10" s="330" t="n">
        <v>3.8</v>
      </c>
      <c r="F10" s="204" t="inlineStr">
        <is>
          <t>РТМ</t>
        </is>
      </c>
      <c r="G10" s="205" t="n"/>
    </row>
    <row r="11" ht="78.75" customHeight="1">
      <c r="A11" s="203" t="inlineStr">
        <is>
          <t>1.5</t>
        </is>
      </c>
      <c r="B11" s="204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31" t="n">
        <v>1.308</v>
      </c>
      <c r="F11" s="2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4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32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4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2025-01-24T12:05:59Z</dcterms:modified>
  <cp:lastModifiedBy>112</cp:lastModifiedBy>
  <cp:lastPrinted>2023-12-01T07:42:26Z</cp:lastPrinted>
</cp:coreProperties>
</file>