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7" zoomScale="85" zoomScaleNormal="55" workbookViewId="0">
      <selection activeCell="H16" sqref="H16"/>
    </sheetView>
  </sheetViews>
  <sheetFormatPr baseColWidth="8" defaultColWidth="9.109375" defaultRowHeight="15.6"/>
  <cols>
    <col width="9.109375" customWidth="1" style="215" min="1" max="2"/>
    <col width="51.6640625" customWidth="1" style="215" min="3" max="3"/>
    <col width="47" customWidth="1" style="215" min="4" max="4"/>
    <col width="37.44140625" customWidth="1" style="215" min="5" max="5"/>
    <col width="9.109375" customWidth="1" style="215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.15000000000001" customHeight="1" s="213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68" t="n"/>
      <c r="C6" s="168" t="n"/>
      <c r="D6" s="168" t="n"/>
    </row>
    <row r="7" ht="64.5" customHeight="1" s="213">
      <c r="B7" s="230" t="inlineStr">
        <is>
          <t>Наименование разрабатываемого показателя УНЦ - КЛ 35 кВ (с медной жилой) сечение жилы 630 мм2. Муфта соединительная 35 кВ 630 мм2</t>
        </is>
      </c>
    </row>
    <row r="8" ht="31.65" customHeight="1" s="213">
      <c r="B8" s="230" t="inlineStr">
        <is>
          <t>Сопоставимый уровень цен: 3 квартал 2011 года</t>
        </is>
      </c>
    </row>
    <row r="9" ht="15.75" customHeight="1" s="213">
      <c r="B9" s="230" t="inlineStr">
        <is>
          <t>Единица измерения  — 1 ед</t>
        </is>
      </c>
    </row>
    <row r="10">
      <c r="B10" s="230" t="n"/>
    </row>
    <row r="11">
      <c r="B11" s="234" t="inlineStr">
        <is>
          <t>№ п/п</t>
        </is>
      </c>
      <c r="C11" s="234" t="inlineStr">
        <is>
          <t>Параметр</t>
        </is>
      </c>
      <c r="D11" s="234" t="inlineStr">
        <is>
          <t xml:space="preserve">Объект-представитель </t>
        </is>
      </c>
      <c r="E11" s="152" t="n"/>
    </row>
    <row r="12" ht="31.2" customHeight="1" s="213">
      <c r="B12" s="234" t="n">
        <v>1</v>
      </c>
      <c r="C12" s="204" t="inlineStr">
        <is>
          <t>Наименование объекта-представителя</t>
        </is>
      </c>
      <c r="D12" s="234" t="inlineStr">
        <is>
          <t>Комплексная реконструкция и техническое перевооружение ПС №20 Чесменская СПб</t>
        </is>
      </c>
    </row>
    <row r="13">
      <c r="B13" s="234" t="n">
        <v>2</v>
      </c>
      <c r="C13" s="204" t="inlineStr">
        <is>
          <t>Наименование субъекта Российской Федерации</t>
        </is>
      </c>
      <c r="D13" s="234" t="inlineStr">
        <is>
          <t>Ленинградская область</t>
        </is>
      </c>
    </row>
    <row r="14">
      <c r="B14" s="234" t="n">
        <v>3</v>
      </c>
      <c r="C14" s="204" t="inlineStr">
        <is>
          <t>Климатический район и подрайон</t>
        </is>
      </c>
      <c r="D14" s="234" t="inlineStr">
        <is>
          <t>IIВ</t>
        </is>
      </c>
    </row>
    <row r="15">
      <c r="B15" s="234" t="n">
        <v>4</v>
      </c>
      <c r="C15" s="204" t="inlineStr">
        <is>
          <t>Мощность объекта</t>
        </is>
      </c>
      <c r="D15" s="234" t="n">
        <v>1</v>
      </c>
    </row>
    <row r="16" ht="62.4" customHeight="1" s="213">
      <c r="B16" s="23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соединительная 35 кВ 630 мм2</t>
        </is>
      </c>
    </row>
    <row r="17" ht="79.5" customHeight="1" s="213">
      <c r="B17" s="23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>
        <f>D18+D19+D20+D21</f>
        <v/>
      </c>
      <c r="E17" s="167" t="n"/>
    </row>
    <row r="18">
      <c r="B18" s="203" t="inlineStr">
        <is>
          <t>6.1</t>
        </is>
      </c>
      <c r="C18" s="204" t="inlineStr">
        <is>
          <t>строительно-монтажные работы</t>
        </is>
      </c>
      <c r="D18" s="211" t="n">
        <v>48.64</v>
      </c>
    </row>
    <row r="19" ht="15.75" customHeight="1" s="213">
      <c r="B19" s="203" t="inlineStr">
        <is>
          <t>6.2</t>
        </is>
      </c>
      <c r="C19" s="204" t="inlineStr">
        <is>
          <t>оборудование и инвентарь</t>
        </is>
      </c>
      <c r="D19" s="211" t="n"/>
    </row>
    <row r="20" ht="16.5" customHeight="1" s="213">
      <c r="B20" s="203" t="inlineStr">
        <is>
          <t>6.3</t>
        </is>
      </c>
      <c r="C20" s="204" t="inlineStr">
        <is>
          <t>пусконаладочные работы</t>
        </is>
      </c>
      <c r="D20" s="211" t="n"/>
    </row>
    <row r="21" ht="35.4" customHeight="1" s="213">
      <c r="B21" s="203" t="inlineStr">
        <is>
          <t>6.4</t>
        </is>
      </c>
      <c r="C21" s="150" t="inlineStr">
        <is>
          <t>прочие и лимитированные затраты</t>
        </is>
      </c>
      <c r="D21" s="211">
        <f>D18*2.5%+(D18+D18*2.5%)*2.9%</f>
        <v/>
      </c>
    </row>
    <row r="22">
      <c r="B22" s="234" t="n">
        <v>7</v>
      </c>
      <c r="C22" s="150" t="inlineStr">
        <is>
          <t>Сопоставимый уровень цен</t>
        </is>
      </c>
      <c r="D22" s="212" t="inlineStr">
        <is>
          <t>3 квартал 2011 года</t>
        </is>
      </c>
      <c r="E22" s="148" t="n"/>
    </row>
    <row r="23" ht="78" customHeight="1" s="213">
      <c r="B23" s="234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>
        <f>D17</f>
        <v/>
      </c>
      <c r="E23" s="167" t="n"/>
    </row>
    <row r="24" ht="31.2" customHeight="1" s="213">
      <c r="B24" s="23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1">
        <f>D23/D15</f>
        <v/>
      </c>
      <c r="E24" s="148" t="n"/>
    </row>
    <row r="25">
      <c r="B25" s="234" t="n">
        <v>10</v>
      </c>
      <c r="C25" s="204" t="inlineStr">
        <is>
          <t>Примечание</t>
        </is>
      </c>
      <c r="D25" s="234" t="n"/>
    </row>
    <row r="26">
      <c r="B26" s="147" t="n"/>
      <c r="C26" s="146" t="n"/>
      <c r="D26" s="146" t="n"/>
    </row>
    <row r="27" ht="37.5" customHeight="1" s="213">
      <c r="B27" s="145" t="n"/>
    </row>
    <row r="28">
      <c r="B28" s="215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5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2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215" min="1" max="1"/>
    <col width="9.109375" customWidth="1" style="215" min="2" max="2"/>
    <col width="40.109375" customWidth="1" style="215" min="3" max="3"/>
    <col width="13.88671875" customWidth="1" style="215" min="4" max="4"/>
    <col width="24.88671875" customWidth="1" style="215" min="5" max="5"/>
    <col width="15.5546875" customWidth="1" style="215" min="6" max="6"/>
    <col width="14.88671875" customWidth="1" style="215" min="7" max="7"/>
    <col width="16.6640625" customWidth="1" style="215" min="8" max="8"/>
    <col width="13" customWidth="1" style="215" min="9" max="10"/>
    <col width="18" customWidth="1" style="215" min="11" max="11"/>
    <col width="9.109375" customWidth="1" style="215" min="12" max="12"/>
  </cols>
  <sheetData>
    <row r="3">
      <c r="B3" s="228" t="inlineStr">
        <is>
          <t>Приложение № 2</t>
        </is>
      </c>
      <c r="K3" s="145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3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 s="213">
      <c r="B8" s="121" t="n"/>
    </row>
    <row r="9" ht="15.75" customHeight="1" s="213">
      <c r="A9" s="215" t="n"/>
      <c r="B9" s="234" t="inlineStr">
        <is>
          <t>№ п/п</t>
        </is>
      </c>
      <c r="C9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4" t="inlineStr">
        <is>
          <t>Объект-представитель 1</t>
        </is>
      </c>
      <c r="E9" s="325" t="n"/>
      <c r="F9" s="325" t="n"/>
      <c r="G9" s="325" t="n"/>
      <c r="H9" s="325" t="n"/>
      <c r="I9" s="325" t="n"/>
      <c r="J9" s="326" t="n"/>
      <c r="K9" s="215" t="n"/>
      <c r="L9" s="215" t="n"/>
    </row>
    <row r="10" ht="15.75" customHeight="1" s="213">
      <c r="A10" s="215" t="n"/>
      <c r="B10" s="327" t="n"/>
      <c r="C10" s="327" t="n"/>
      <c r="D10" s="234" t="inlineStr">
        <is>
          <t>Номер сметы</t>
        </is>
      </c>
      <c r="E10" s="234" t="inlineStr">
        <is>
          <t>Наименование сметы</t>
        </is>
      </c>
      <c r="F10" s="234" t="inlineStr">
        <is>
          <t>Сметная стоимость в уровне цен 3 кв. 2011 г., тыс. руб.</t>
        </is>
      </c>
      <c r="G10" s="325" t="n"/>
      <c r="H10" s="325" t="n"/>
      <c r="I10" s="325" t="n"/>
      <c r="J10" s="326" t="n"/>
      <c r="K10" s="215" t="n"/>
      <c r="L10" s="215" t="n"/>
    </row>
    <row r="11" ht="48.75" customHeight="1" s="213">
      <c r="A11" s="215" t="n"/>
      <c r="B11" s="328" t="n"/>
      <c r="C11" s="328" t="n"/>
      <c r="D11" s="328" t="n"/>
      <c r="E11" s="328" t="n"/>
      <c r="F11" s="234" t="inlineStr">
        <is>
          <t>Строительные работы</t>
        </is>
      </c>
      <c r="G11" s="234" t="inlineStr">
        <is>
          <t>Монтажные работы</t>
        </is>
      </c>
      <c r="H11" s="234" t="inlineStr">
        <is>
          <t>Оборудование</t>
        </is>
      </c>
      <c r="I11" s="234" t="inlineStr">
        <is>
          <t>Прочее</t>
        </is>
      </c>
      <c r="J11" s="234" t="inlineStr">
        <is>
          <t>Всего</t>
        </is>
      </c>
      <c r="K11" s="215" t="n"/>
      <c r="L11" s="215" t="n"/>
    </row>
    <row r="12">
      <c r="A12" s="215" t="n"/>
      <c r="B12" s="234" t="n">
        <v>1</v>
      </c>
      <c r="C12" s="234" t="inlineStr">
        <is>
          <t>Муфта соединительная 35 кВ 630 мм2</t>
        </is>
      </c>
      <c r="D12" s="203" t="inlineStr">
        <is>
          <t>02-17-01</t>
        </is>
      </c>
      <c r="E12" s="234" t="inlineStr">
        <is>
          <t>Заходы КЛ-35 кВ</t>
        </is>
      </c>
      <c r="F12" s="204" t="n"/>
      <c r="G12" s="205">
        <f>48643.2328/1000</f>
        <v/>
      </c>
      <c r="H12" s="205" t="n"/>
      <c r="I12" s="205" t="n"/>
      <c r="J12" s="205">
        <f>SUM(F12:I12)</f>
        <v/>
      </c>
      <c r="K12" s="215" t="n"/>
      <c r="L12" s="215" t="n"/>
    </row>
    <row r="13" ht="15" customHeight="1" s="213">
      <c r="A13" s="215" t="n"/>
      <c r="B13" s="232" t="inlineStr">
        <is>
          <t>Всего по объекту:</t>
        </is>
      </c>
      <c r="C13" s="329" t="n"/>
      <c r="D13" s="329" t="n"/>
      <c r="E13" s="330" t="n"/>
      <c r="F13" s="206" t="n"/>
      <c r="G13" s="207">
        <f>SUM(G12)</f>
        <v/>
      </c>
      <c r="H13" s="207" t="n"/>
      <c r="I13" s="207" t="n"/>
      <c r="J13" s="208">
        <f>SUM(J12)</f>
        <v/>
      </c>
      <c r="K13" s="215" t="n"/>
      <c r="L13" s="215" t="n"/>
    </row>
    <row r="14" ht="15.75" customHeight="1" s="213">
      <c r="A14" s="215" t="n"/>
      <c r="B14" s="233" t="inlineStr">
        <is>
          <t>Всего по объекту в сопоставимом уровне цен 3 кв. 2011 г:</t>
        </is>
      </c>
      <c r="C14" s="325" t="n"/>
      <c r="D14" s="325" t="n"/>
      <c r="E14" s="326" t="n"/>
      <c r="F14" s="209" t="n"/>
      <c r="G14" s="210">
        <f>G13</f>
        <v/>
      </c>
      <c r="H14" s="210" t="n"/>
      <c r="I14" s="210" t="n"/>
      <c r="J14" s="208">
        <f>J13</f>
        <v/>
      </c>
      <c r="K14" s="215" t="n"/>
      <c r="L14" s="215" t="n"/>
    </row>
    <row r="15" ht="15" customHeight="1" s="213"/>
    <row r="16" ht="15" customHeight="1" s="213"/>
    <row r="17" ht="15" customHeight="1" s="213"/>
    <row r="18" ht="15" customHeight="1" s="213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3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3">
      <c r="C20" s="197" t="n"/>
      <c r="D20" s="198" t="n"/>
      <c r="E20" s="198" t="n"/>
    </row>
    <row r="21" ht="15" customHeight="1" s="213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3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3"/>
    <row r="24" ht="15" customHeight="1" s="213"/>
    <row r="25" ht="15" customHeight="1" s="213"/>
    <row r="26" ht="15" customHeight="1" s="213"/>
    <row r="27" ht="15" customHeight="1" s="213"/>
    <row r="28" ht="15" customHeight="1" s="21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zoomScale="85" workbookViewId="0">
      <selection activeCell="D35" sqref="D35"/>
    </sheetView>
  </sheetViews>
  <sheetFormatPr baseColWidth="8" defaultColWidth="9.109375" defaultRowHeight="15.6"/>
  <cols>
    <col width="9.109375" customWidth="1" style="215" min="1" max="1"/>
    <col width="12.5546875" customWidth="1" style="215" min="2" max="2"/>
    <col width="22.44140625" customWidth="1" style="215" min="3" max="3"/>
    <col width="49.6640625" customWidth="1" style="215" min="4" max="4"/>
    <col width="10.109375" customWidth="1" style="215" min="5" max="5"/>
    <col width="20.6640625" customWidth="1" style="215" min="6" max="6"/>
    <col width="20" customWidth="1" style="215" min="7" max="7"/>
    <col width="16.6640625" customWidth="1" style="215" min="8" max="8"/>
    <col width="9.109375" customWidth="1" style="215" min="9" max="10"/>
    <col width="15" customWidth="1" style="215" min="11" max="11"/>
    <col width="9.109375" customWidth="1" style="215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 s="213">
      <c r="A4" s="176" t="n"/>
      <c r="B4" s="176" t="n"/>
      <c r="C4" s="23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5" t="inlineStr">
        <is>
          <t>Наименование разрабатываемого показателя УНЦ - КЛ 35 кВ (с медной жилой) сечение жилы 630 мм2. Муфта соединительная 35 кВ 630 мм2</t>
        </is>
      </c>
    </row>
    <row r="7">
      <c r="A7" s="235" t="n"/>
      <c r="B7" s="235" t="n"/>
      <c r="C7" s="235" t="n"/>
      <c r="D7" s="235" t="n"/>
      <c r="E7" s="235" t="n"/>
      <c r="F7" s="235" t="n"/>
      <c r="G7" s="235" t="n"/>
      <c r="H7" s="235" t="n"/>
    </row>
    <row r="8" ht="38.25" customHeight="1" s="213">
      <c r="A8" s="234" t="inlineStr">
        <is>
          <t>п/п</t>
        </is>
      </c>
      <c r="B8" s="234" t="inlineStr">
        <is>
          <t>№ЛСР</t>
        </is>
      </c>
      <c r="C8" s="234" t="inlineStr">
        <is>
          <t>Код ресурса</t>
        </is>
      </c>
      <c r="D8" s="234" t="inlineStr">
        <is>
          <t>Наименование ресурса</t>
        </is>
      </c>
      <c r="E8" s="234" t="inlineStr">
        <is>
          <t>Ед. изм.</t>
        </is>
      </c>
      <c r="F8" s="234" t="inlineStr">
        <is>
          <t>Кол-во единиц по данным объекта-представителя</t>
        </is>
      </c>
      <c r="G8" s="234" t="inlineStr">
        <is>
          <t>Сметная стоимость в ценах на 01.01.2000 (руб.)</t>
        </is>
      </c>
      <c r="H8" s="326" t="n"/>
    </row>
    <row r="9" ht="40.65" customHeight="1" s="213">
      <c r="A9" s="328" t="n"/>
      <c r="B9" s="328" t="n"/>
      <c r="C9" s="328" t="n"/>
      <c r="D9" s="328" t="n"/>
      <c r="E9" s="328" t="n"/>
      <c r="F9" s="328" t="n"/>
      <c r="G9" s="234" t="inlineStr">
        <is>
          <t>на ед.изм.</t>
        </is>
      </c>
      <c r="H9" s="234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92">
      <c r="A11" s="238" t="inlineStr">
        <is>
          <t>Затраты труда рабочих</t>
        </is>
      </c>
      <c r="B11" s="325" t="n"/>
      <c r="C11" s="325" t="n"/>
      <c r="D11" s="325" t="n"/>
      <c r="E11" s="326" t="n"/>
      <c r="F11" s="331">
        <f>SUM(F12:F12)</f>
        <v/>
      </c>
      <c r="G11" s="10" t="n"/>
      <c r="H11" s="331">
        <f>SUM(H12:H12)</f>
        <v/>
      </c>
    </row>
    <row r="12">
      <c r="A12" s="266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66" t="inlineStr">
        <is>
          <t>чел.-ч</t>
        </is>
      </c>
      <c r="F12" s="248" t="n">
        <v>113.28</v>
      </c>
      <c r="G12" s="332" t="n">
        <v>9.619999999999999</v>
      </c>
      <c r="H12" s="169">
        <f>ROUND(F12*G12,2)</f>
        <v/>
      </c>
      <c r="M12" s="333" t="n"/>
    </row>
    <row r="13">
      <c r="A13" s="237" t="inlineStr">
        <is>
          <t>Затраты труда машинистов</t>
        </is>
      </c>
      <c r="B13" s="325" t="n"/>
      <c r="C13" s="325" t="n"/>
      <c r="D13" s="325" t="n"/>
      <c r="E13" s="326" t="n"/>
      <c r="F13" s="238" t="n"/>
      <c r="G13" s="157" t="n"/>
      <c r="H13" s="331">
        <f>H14</f>
        <v/>
      </c>
    </row>
    <row r="14">
      <c r="A14" s="266" t="n">
        <v>2</v>
      </c>
      <c r="B14" s="239" t="n"/>
      <c r="C14" s="178" t="n">
        <v>2</v>
      </c>
      <c r="D14" s="171" t="inlineStr">
        <is>
          <t>Затраты труда машинистов</t>
        </is>
      </c>
      <c r="E14" s="266" t="inlineStr">
        <is>
          <t>чел.-ч</t>
        </is>
      </c>
      <c r="F14" s="266" t="n">
        <v>0.48</v>
      </c>
      <c r="G14" s="169" t="n"/>
      <c r="H14" s="180" t="n">
        <v>6.03</v>
      </c>
    </row>
    <row r="15" customFormat="1" s="192">
      <c r="A15" s="238" t="inlineStr">
        <is>
          <t>Машины и механизмы</t>
        </is>
      </c>
      <c r="B15" s="325" t="n"/>
      <c r="C15" s="325" t="n"/>
      <c r="D15" s="325" t="n"/>
      <c r="E15" s="326" t="n"/>
      <c r="F15" s="238" t="n"/>
      <c r="G15" s="157" t="n"/>
      <c r="H15" s="331">
        <f>SUM(H16:H17)</f>
        <v/>
      </c>
    </row>
    <row r="16" ht="25.5" customHeight="1" s="213">
      <c r="A16" s="266" t="n">
        <v>3</v>
      </c>
      <c r="B16" s="239" t="n"/>
      <c r="C16" s="137" t="inlineStr">
        <is>
          <t>91.05.05-015</t>
        </is>
      </c>
      <c r="D16" s="247" t="inlineStr">
        <is>
          <t>Краны на автомобильном ходу, грузоподъемность 16 т</t>
        </is>
      </c>
      <c r="E16" s="248" t="inlineStr">
        <is>
          <t>маш.час</t>
        </is>
      </c>
      <c r="F16" s="248" t="n">
        <v>0.24</v>
      </c>
      <c r="G16" s="250" t="n">
        <v>115.4</v>
      </c>
      <c r="H16" s="169">
        <f>ROUND(F16*G16,2)</f>
        <v/>
      </c>
      <c r="I16" s="173" t="n"/>
      <c r="J16" s="173" t="n"/>
      <c r="L16" s="173" t="n"/>
    </row>
    <row r="17" customFormat="1" s="192">
      <c r="A17" s="266" t="n">
        <v>4</v>
      </c>
      <c r="B17" s="239" t="n"/>
      <c r="C17" s="137" t="inlineStr">
        <is>
          <t>91.14.02-001</t>
        </is>
      </c>
      <c r="D17" s="247" t="inlineStr">
        <is>
          <t>Автомобили бортовые, грузоподъемность: до 5 т</t>
        </is>
      </c>
      <c r="E17" s="248" t="inlineStr">
        <is>
          <t>маш.час</t>
        </is>
      </c>
      <c r="F17" s="248" t="n">
        <v>0.24</v>
      </c>
      <c r="G17" s="250" t="n">
        <v>65.70999999999999</v>
      </c>
      <c r="H17" s="169">
        <f>ROUND(F17*G17,2)</f>
        <v/>
      </c>
      <c r="I17" s="173" t="n"/>
      <c r="J17" s="173" t="n"/>
      <c r="K17" s="185" t="n"/>
      <c r="L17" s="173" t="n"/>
    </row>
    <row r="18">
      <c r="A18" s="238" t="inlineStr">
        <is>
          <t>Материалы</t>
        </is>
      </c>
      <c r="B18" s="325" t="n"/>
      <c r="C18" s="325" t="n"/>
      <c r="D18" s="325" t="n"/>
      <c r="E18" s="326" t="n"/>
      <c r="F18" s="238" t="n"/>
      <c r="G18" s="157" t="n"/>
      <c r="H18" s="331">
        <f>SUM(H19:H27)</f>
        <v/>
      </c>
    </row>
    <row r="19">
      <c r="A19" s="183" t="n">
        <v>5</v>
      </c>
      <c r="B19" s="183" t="n"/>
      <c r="C19" s="266" t="inlineStr">
        <is>
          <t>Прайс из СД ОП</t>
        </is>
      </c>
      <c r="D19" s="182" t="inlineStr">
        <is>
          <t>Муфта соединительная 35 кВ 630 мм2</t>
        </is>
      </c>
      <c r="E19" s="266" t="inlineStr">
        <is>
          <t>шт</t>
        </is>
      </c>
      <c r="F19" s="266" t="n">
        <v>6</v>
      </c>
      <c r="G19" s="182" t="n">
        <v>2447.94</v>
      </c>
      <c r="H19" s="169" t="n">
        <v>14687.64</v>
      </c>
    </row>
    <row r="20" ht="25.5" customHeight="1" s="213">
      <c r="A20" s="172" t="n">
        <v>6</v>
      </c>
      <c r="B20" s="239" t="n"/>
      <c r="C20" s="137" t="inlineStr">
        <is>
          <t>10.3.02.03-0011</t>
        </is>
      </c>
      <c r="D20" s="247" t="inlineStr">
        <is>
          <t>Припои оловянно-свинцовые бессурьмянистые, марка ПОС30</t>
        </is>
      </c>
      <c r="E20" s="248" t="inlineStr">
        <is>
          <t>т</t>
        </is>
      </c>
      <c r="F20" s="248" t="n">
        <v>0.0174</v>
      </c>
      <c r="G20" s="250" t="n">
        <v>68050</v>
      </c>
      <c r="H20" s="169" t="n">
        <v>1184.07</v>
      </c>
      <c r="I20" s="166" t="n"/>
      <c r="J20" s="173" t="n"/>
      <c r="K20" s="173" t="n"/>
    </row>
    <row r="21" ht="25.5" customHeight="1" s="213">
      <c r="A21" s="183" t="n">
        <v>7</v>
      </c>
      <c r="B21" s="239" t="n"/>
      <c r="C21" s="137" t="inlineStr">
        <is>
          <t>10.2.02.08-0001</t>
        </is>
      </c>
      <c r="D21" s="247" t="inlineStr">
        <is>
          <t>Проволока медная, круглая, мягкая, электротехническая, диаметр 1,0-3,0 мм и выше</t>
        </is>
      </c>
      <c r="E21" s="248" t="inlineStr">
        <is>
          <t>т</t>
        </is>
      </c>
      <c r="F21" s="248" t="n">
        <v>0.0075</v>
      </c>
      <c r="G21" s="250" t="n">
        <v>37517</v>
      </c>
      <c r="H21" s="169" t="n">
        <v>281.38</v>
      </c>
      <c r="I21" s="166" t="n"/>
      <c r="J21" s="173" t="n"/>
      <c r="K21" s="173" t="n"/>
    </row>
    <row r="22">
      <c r="A22" s="172" t="n">
        <v>8</v>
      </c>
      <c r="B22" s="239" t="n"/>
      <c r="C22" s="137" t="inlineStr">
        <is>
          <t>01.1.02.01-0003</t>
        </is>
      </c>
      <c r="D22" s="247" t="inlineStr">
        <is>
          <t>Асботекстолит, марка Г</t>
        </is>
      </c>
      <c r="E22" s="248" t="inlineStr">
        <is>
          <t>т</t>
        </is>
      </c>
      <c r="F22" s="248" t="n">
        <v>0.00075</v>
      </c>
      <c r="G22" s="250" t="n">
        <v>161000</v>
      </c>
      <c r="H22" s="169" t="n">
        <v>120.75</v>
      </c>
      <c r="I22" s="166" t="n"/>
      <c r="J22" s="173" t="n"/>
      <c r="K22" s="173" t="n"/>
    </row>
    <row r="23">
      <c r="A23" s="183" t="n">
        <v>9</v>
      </c>
      <c r="B23" s="239" t="n"/>
      <c r="C23" s="137" t="inlineStr">
        <is>
          <t>01.3.02.09-0022</t>
        </is>
      </c>
      <c r="D23" s="247" t="inlineStr">
        <is>
          <t>Пропан-бутан смесь техническая</t>
        </is>
      </c>
      <c r="E23" s="248" t="inlineStr">
        <is>
          <t>кг</t>
        </is>
      </c>
      <c r="F23" s="248" t="n">
        <v>15</v>
      </c>
      <c r="G23" s="250" t="n">
        <v>6.09</v>
      </c>
      <c r="H23" s="169" t="n">
        <v>91.34999999999999</v>
      </c>
      <c r="I23" s="166" t="n"/>
      <c r="J23" s="173" t="n"/>
      <c r="K23" s="173" t="n"/>
    </row>
    <row r="24">
      <c r="A24" s="172" t="n">
        <v>10</v>
      </c>
      <c r="B24" s="239" t="n"/>
      <c r="C24" s="137" t="inlineStr">
        <is>
          <t>14.4.02.09-0001</t>
        </is>
      </c>
      <c r="D24" s="247" t="inlineStr">
        <is>
          <t>Краска</t>
        </is>
      </c>
      <c r="E24" s="248" t="inlineStr">
        <is>
          <t>кг</t>
        </is>
      </c>
      <c r="F24" s="248" t="n">
        <v>2.61</v>
      </c>
      <c r="G24" s="250" t="n">
        <v>28.6</v>
      </c>
      <c r="H24" s="169" t="n">
        <v>74.65000000000001</v>
      </c>
      <c r="I24" s="166" t="n"/>
      <c r="J24" s="173" t="n"/>
      <c r="K24" s="173" t="n"/>
    </row>
    <row r="25">
      <c r="A25" s="172" t="n">
        <v>11</v>
      </c>
      <c r="B25" s="239" t="n"/>
      <c r="C25" s="137" t="inlineStr">
        <is>
          <t>20.1.02.06-0001</t>
        </is>
      </c>
      <c r="D25" s="247" t="inlineStr">
        <is>
          <t>Жир паяльный</t>
        </is>
      </c>
      <c r="E25" s="248" t="inlineStr">
        <is>
          <t>кг</t>
        </is>
      </c>
      <c r="F25" s="248" t="n">
        <v>0.18</v>
      </c>
      <c r="G25" s="250" t="n">
        <v>100.8</v>
      </c>
      <c r="H25" s="169" t="n">
        <v>18.14</v>
      </c>
      <c r="I25" s="166" t="n"/>
      <c r="J25" s="173" t="n"/>
      <c r="K25" s="173" t="n"/>
    </row>
    <row r="26">
      <c r="A26" s="183" t="n">
        <v>12</v>
      </c>
      <c r="B26" s="239" t="n"/>
      <c r="C26" s="137" t="inlineStr">
        <is>
          <t>01.3.01.05-0009</t>
        </is>
      </c>
      <c r="D26" s="247" t="inlineStr">
        <is>
          <t>Парафины нефтяные твердые марки Т-1</t>
        </is>
      </c>
      <c r="E26" s="248" t="inlineStr">
        <is>
          <t>т</t>
        </is>
      </c>
      <c r="F26" s="248" t="n">
        <v>0.0018</v>
      </c>
      <c r="G26" s="250" t="n">
        <v>8105.71</v>
      </c>
      <c r="H26" s="169" t="n">
        <v>14.59</v>
      </c>
      <c r="I26" s="166" t="n"/>
      <c r="J26" s="173" t="n"/>
      <c r="K26" s="173" t="n"/>
    </row>
    <row r="27">
      <c r="A27" s="172" t="n">
        <v>13</v>
      </c>
      <c r="B27" s="239" t="n"/>
      <c r="C27" s="137" t="inlineStr">
        <is>
          <t>01.7.20.08-0031</t>
        </is>
      </c>
      <c r="D27" s="247" t="inlineStr">
        <is>
          <t>Бязь суровая</t>
        </is>
      </c>
      <c r="E27" s="248" t="inlineStr">
        <is>
          <t>10 м2</t>
        </is>
      </c>
      <c r="F27" s="248" t="n">
        <v>0.03</v>
      </c>
      <c r="G27" s="250" t="n">
        <v>79.09999999999999</v>
      </c>
      <c r="H27" s="169" t="n">
        <v>2.37</v>
      </c>
      <c r="I27" s="166" t="n"/>
      <c r="J27" s="173" t="n"/>
      <c r="K27" s="173" t="n"/>
    </row>
    <row r="29">
      <c r="B29" s="215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215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213" min="1" max="1"/>
    <col width="36.33203125" customWidth="1" style="213" min="2" max="2"/>
    <col width="18.88671875" customWidth="1" style="213" min="3" max="3"/>
    <col width="18.33203125" customWidth="1" style="213" min="4" max="4"/>
    <col width="18.88671875" customWidth="1" style="213" min="5" max="5"/>
    <col width="11.44140625" customWidth="1" style="213" min="6" max="6"/>
    <col width="14.44140625" customWidth="1" style="213" min="7" max="7"/>
    <col width="13.5546875" customWidth="1" style="213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61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18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3">
      <c r="B7" s="227" t="inlineStr">
        <is>
          <t>Наименование разрабатываемого показателя УНЦ — КЛ 35 кВ (с медной жилой) сечение жилы 630 мм2. Муфта соединительная 35 кВ 630 мм2</t>
        </is>
      </c>
    </row>
    <row r="8">
      <c r="B8" s="241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3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3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3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 s="213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3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3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3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3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3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65" customHeight="1" s="213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41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31" workbookViewId="0">
      <selection activeCell="B52" sqref="B52"/>
    </sheetView>
  </sheetViews>
  <sheetFormatPr baseColWidth="8" defaultColWidth="9.109375" defaultRowHeight="14.4" outlineLevelRow="1"/>
  <cols>
    <col width="5.6640625" customWidth="1" style="198" min="1" max="1"/>
    <col width="22.5546875" customWidth="1" style="198" min="2" max="2"/>
    <col width="39.109375" customWidth="1" style="198" min="3" max="3"/>
    <col width="10.6640625" customWidth="1" style="198" min="4" max="4"/>
    <col width="12.6640625" customWidth="1" style="198" min="5" max="5"/>
    <col width="15" customWidth="1" style="198" min="6" max="6"/>
    <col width="13.44140625" customWidth="1" style="198" min="7" max="7"/>
    <col width="12.6640625" customWidth="1" style="198" min="8" max="8"/>
    <col width="13.88671875" customWidth="1" style="198" min="9" max="9"/>
    <col width="17.5546875" customWidth="1" style="198" min="10" max="10"/>
    <col width="10.88671875" customWidth="1" style="198" min="11" max="11"/>
    <col width="9.109375" customWidth="1" style="198" min="12" max="12"/>
  </cols>
  <sheetData>
    <row r="1">
      <c r="M1" s="198" t="n"/>
      <c r="N1" s="198" t="n"/>
    </row>
    <row r="2" ht="15.75" customHeight="1" s="213">
      <c r="H2" s="256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18" t="inlineStr">
        <is>
          <t>Расчет стоимости СМР и оборудования</t>
        </is>
      </c>
    </row>
    <row r="5" ht="12.75" customFormat="1" customHeight="1" s="197">
      <c r="A5" s="218" t="n"/>
      <c r="B5" s="218" t="n"/>
      <c r="C5" s="269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60" t="inlineStr">
        <is>
          <t>КЛ 35 кВ (с медной жилой) сечение жилы 630 мм2. Муфта соединительная 35 кВ 630 мм2</t>
        </is>
      </c>
    </row>
    <row r="7" ht="12.75" customFormat="1" customHeight="1" s="197">
      <c r="A7" s="221" t="inlineStr">
        <is>
          <t>Единица измерения  — 1 ед</t>
        </is>
      </c>
      <c r="I7" s="227" t="n"/>
      <c r="J7" s="227" t="n"/>
    </row>
    <row r="8" ht="13.65" customFormat="1" customHeight="1" s="197">
      <c r="A8" s="221" t="n"/>
    </row>
    <row r="9" ht="13.2" customFormat="1" customHeight="1" s="197"/>
    <row r="10" ht="27" customHeight="1" s="213">
      <c r="A10" s="248" t="inlineStr">
        <is>
          <t>№ пп.</t>
        </is>
      </c>
      <c r="B10" s="248" t="inlineStr">
        <is>
          <t>Код ресурса</t>
        </is>
      </c>
      <c r="C10" s="248" t="inlineStr">
        <is>
          <t>Наименование</t>
        </is>
      </c>
      <c r="D10" s="248" t="inlineStr">
        <is>
          <t>Ед. изм.</t>
        </is>
      </c>
      <c r="E10" s="248" t="inlineStr">
        <is>
          <t>Кол-во единиц по проектным данным</t>
        </is>
      </c>
      <c r="F10" s="248" t="inlineStr">
        <is>
          <t>Сметная стоимость в ценах на 01.01.2000 (руб.)</t>
        </is>
      </c>
      <c r="G10" s="326" t="n"/>
      <c r="H10" s="248" t="inlineStr">
        <is>
          <t>Удельный вес, %</t>
        </is>
      </c>
      <c r="I10" s="248" t="inlineStr">
        <is>
          <t>Сметная стоимость в ценах на 01.01.2023 (руб.)</t>
        </is>
      </c>
      <c r="J10" s="326" t="n"/>
      <c r="M10" s="198" t="n"/>
      <c r="N10" s="198" t="n"/>
    </row>
    <row r="11" ht="28.5" customHeight="1" s="213">
      <c r="A11" s="328" t="n"/>
      <c r="B11" s="328" t="n"/>
      <c r="C11" s="328" t="n"/>
      <c r="D11" s="328" t="n"/>
      <c r="E11" s="328" t="n"/>
      <c r="F11" s="248" t="inlineStr">
        <is>
          <t>на ед. изм.</t>
        </is>
      </c>
      <c r="G11" s="248" t="inlineStr">
        <is>
          <t>общая</t>
        </is>
      </c>
      <c r="H11" s="328" t="n"/>
      <c r="I11" s="248" t="inlineStr">
        <is>
          <t>на ед. изм.</t>
        </is>
      </c>
      <c r="J11" s="248" t="inlineStr">
        <is>
          <t>общая</t>
        </is>
      </c>
      <c r="M11" s="198" t="n"/>
      <c r="N11" s="198" t="n"/>
    </row>
    <row r="12">
      <c r="A12" s="248" t="n">
        <v>1</v>
      </c>
      <c r="B12" s="248" t="n">
        <v>2</v>
      </c>
      <c r="C12" s="248" t="n">
        <v>3</v>
      </c>
      <c r="D12" s="248" t="n">
        <v>4</v>
      </c>
      <c r="E12" s="248" t="n">
        <v>5</v>
      </c>
      <c r="F12" s="248" t="n">
        <v>6</v>
      </c>
      <c r="G12" s="248" t="n">
        <v>7</v>
      </c>
      <c r="H12" s="248" t="n">
        <v>8</v>
      </c>
      <c r="I12" s="243" t="n">
        <v>9</v>
      </c>
      <c r="J12" s="243" t="n">
        <v>10</v>
      </c>
      <c r="M12" s="198" t="n"/>
      <c r="N12" s="198" t="n"/>
    </row>
    <row r="13">
      <c r="A13" s="248" t="n"/>
      <c r="B13" s="237" t="inlineStr">
        <is>
          <t>Затраты труда рабочих-строителей</t>
        </is>
      </c>
      <c r="C13" s="325" t="n"/>
      <c r="D13" s="325" t="n"/>
      <c r="E13" s="325" t="n"/>
      <c r="F13" s="325" t="n"/>
      <c r="G13" s="325" t="n"/>
      <c r="H13" s="326" t="n"/>
      <c r="I13" s="127" t="n"/>
      <c r="J13" s="127" t="n"/>
    </row>
    <row r="14" ht="25.5" customHeight="1" s="213">
      <c r="A14" s="248" t="n">
        <v>1</v>
      </c>
      <c r="B14" s="137" t="inlineStr">
        <is>
          <t>1-4-0</t>
        </is>
      </c>
      <c r="C14" s="247" t="inlineStr">
        <is>
          <t>Затраты труда рабочих-строителей среднего разряда (4,0)</t>
        </is>
      </c>
      <c r="D14" s="248" t="inlineStr">
        <is>
          <t>чел.-ч.</t>
        </is>
      </c>
      <c r="E14" s="335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48" t="n"/>
      <c r="B15" s="248" t="n"/>
      <c r="C15" s="237" t="inlineStr">
        <is>
          <t>Итого по разделу "Затраты труда рабочих-строителей"</t>
        </is>
      </c>
      <c r="D15" s="248" t="inlineStr">
        <is>
          <t>чел.-ч.</t>
        </is>
      </c>
      <c r="E15" s="335">
        <f>SUM(E14:E14)</f>
        <v/>
      </c>
      <c r="F15" s="32" t="n"/>
      <c r="G15" s="32">
        <f>SUM(G14:G14)</f>
        <v/>
      </c>
      <c r="H15" s="251" t="n">
        <v>1</v>
      </c>
      <c r="I15" s="127" t="n"/>
      <c r="J15" s="32">
        <f>SUM(J14:J14)</f>
        <v/>
      </c>
    </row>
    <row r="16" ht="14.25" customFormat="1" customHeight="1" s="198">
      <c r="A16" s="248" t="n"/>
      <c r="B16" s="247" t="inlineStr">
        <is>
          <t>Затраты труда машинистов</t>
        </is>
      </c>
      <c r="C16" s="325" t="n"/>
      <c r="D16" s="325" t="n"/>
      <c r="E16" s="325" t="n"/>
      <c r="F16" s="325" t="n"/>
      <c r="G16" s="325" t="n"/>
      <c r="H16" s="326" t="n"/>
      <c r="I16" s="127" t="n"/>
      <c r="J16" s="127" t="n"/>
    </row>
    <row r="17" ht="14.25" customFormat="1" customHeight="1" s="198">
      <c r="A17" s="248" t="n">
        <v>2</v>
      </c>
      <c r="B17" s="248" t="n">
        <v>2</v>
      </c>
      <c r="C17" s="247" t="inlineStr">
        <is>
          <t>Затраты труда машинистов</t>
        </is>
      </c>
      <c r="D17" s="248" t="inlineStr">
        <is>
          <t>чел.-ч.</t>
        </is>
      </c>
      <c r="E17" s="335" t="n">
        <v>0.06</v>
      </c>
      <c r="F17" s="32">
        <f>G17/E17</f>
        <v/>
      </c>
      <c r="G17" s="32">
        <f>'Прил. 3'!H13</f>
        <v/>
      </c>
      <c r="H17" s="25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48" t="n"/>
      <c r="B18" s="237" t="inlineStr">
        <is>
          <t>Машины и механизмы</t>
        </is>
      </c>
      <c r="C18" s="325" t="n"/>
      <c r="D18" s="325" t="n"/>
      <c r="E18" s="325" t="n"/>
      <c r="F18" s="325" t="n"/>
      <c r="G18" s="325" t="n"/>
      <c r="H18" s="326" t="n"/>
      <c r="I18" s="127" t="n"/>
      <c r="J18" s="127" t="n"/>
    </row>
    <row r="19" ht="14.25" customFormat="1" customHeight="1" s="198">
      <c r="A19" s="248" t="n"/>
      <c r="B19" s="247" t="inlineStr">
        <is>
          <t>Основные машины и механизмы</t>
        </is>
      </c>
      <c r="C19" s="325" t="n"/>
      <c r="D19" s="325" t="n"/>
      <c r="E19" s="325" t="n"/>
      <c r="F19" s="325" t="n"/>
      <c r="G19" s="325" t="n"/>
      <c r="H19" s="326" t="n"/>
      <c r="I19" s="127" t="n"/>
      <c r="J19" s="127" t="n"/>
    </row>
    <row r="20" ht="25.5" customFormat="1" customHeight="1" s="198">
      <c r="A20" s="248" t="n">
        <v>3</v>
      </c>
      <c r="B20" s="137" t="inlineStr">
        <is>
          <t>91.05.05-015</t>
        </is>
      </c>
      <c r="C20" s="247" t="inlineStr">
        <is>
          <t>Краны на автомобильном ходу, грузоподъемность 16 т</t>
        </is>
      </c>
      <c r="D20" s="248" t="inlineStr">
        <is>
          <t>маш.час</t>
        </is>
      </c>
      <c r="E20" s="336" t="n">
        <v>0.24</v>
      </c>
      <c r="F20" s="250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48" t="n">
        <v>4</v>
      </c>
      <c r="B21" s="137" t="inlineStr">
        <is>
          <t>91.14.02-001</t>
        </is>
      </c>
      <c r="C21" s="247" t="inlineStr">
        <is>
          <t>Автомобили бортовые, грузоподъемность: до 5 т</t>
        </is>
      </c>
      <c r="D21" s="248" t="inlineStr">
        <is>
          <t>маш.час</t>
        </is>
      </c>
      <c r="E21" s="336" t="n">
        <v>0.24</v>
      </c>
      <c r="F21" s="250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8">
      <c r="A22" s="248" t="n"/>
      <c r="B22" s="248" t="n"/>
      <c r="C22" s="247" t="inlineStr">
        <is>
          <t>Итого основные машины и механизмы</t>
        </is>
      </c>
      <c r="D22" s="248" t="n"/>
      <c r="E22" s="335" t="n"/>
      <c r="F22" s="32" t="n"/>
      <c r="G22" s="32">
        <f>SUM(G20:G21)</f>
        <v/>
      </c>
      <c r="H22" s="251">
        <f>G22/G24</f>
        <v/>
      </c>
      <c r="I22" s="129" t="n"/>
      <c r="J22" s="32">
        <f>SUM(J20:J21)</f>
        <v/>
      </c>
    </row>
    <row r="23" ht="14.25" customFormat="1" customHeight="1" s="198">
      <c r="A23" s="248" t="n"/>
      <c r="B23" s="248" t="n"/>
      <c r="C23" s="247" t="inlineStr">
        <is>
          <t>Итого прочие машины и механизмы</t>
        </is>
      </c>
      <c r="D23" s="248" t="n"/>
      <c r="E23" s="249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98">
      <c r="A24" s="248" t="n"/>
      <c r="B24" s="248" t="n"/>
      <c r="C24" s="237" t="inlineStr">
        <is>
          <t>Итого по разделу «Машины и механизмы»</t>
        </is>
      </c>
      <c r="D24" s="248" t="n"/>
      <c r="E24" s="249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98">
      <c r="A25" s="248" t="n"/>
      <c r="B25" s="237" t="inlineStr">
        <is>
          <t>Оборудование</t>
        </is>
      </c>
      <c r="C25" s="325" t="n"/>
      <c r="D25" s="325" t="n"/>
      <c r="E25" s="325" t="n"/>
      <c r="F25" s="325" t="n"/>
      <c r="G25" s="325" t="n"/>
      <c r="H25" s="326" t="n"/>
      <c r="I25" s="127" t="n"/>
      <c r="J25" s="127" t="n"/>
    </row>
    <row r="26">
      <c r="A26" s="248" t="n"/>
      <c r="B26" s="247" t="inlineStr">
        <is>
          <t>Основное оборудование</t>
        </is>
      </c>
      <c r="C26" s="325" t="n"/>
      <c r="D26" s="325" t="n"/>
      <c r="E26" s="325" t="n"/>
      <c r="F26" s="325" t="n"/>
      <c r="G26" s="325" t="n"/>
      <c r="H26" s="326" t="n"/>
      <c r="I26" s="127" t="n"/>
      <c r="J26" s="127" t="n"/>
    </row>
    <row r="27">
      <c r="A27" s="248" t="n"/>
      <c r="B27" s="248" t="n"/>
      <c r="C27" s="247" t="inlineStr">
        <is>
          <t>Итого основное оборудование</t>
        </is>
      </c>
      <c r="D27" s="248" t="n"/>
      <c r="E27" s="336" t="n"/>
      <c r="F27" s="250" t="n"/>
      <c r="G27" s="32" t="n">
        <v>0</v>
      </c>
      <c r="H27" s="130" t="n">
        <v>0</v>
      </c>
      <c r="I27" s="129" t="n"/>
      <c r="J27" s="32" t="n">
        <v>0</v>
      </c>
    </row>
    <row r="28">
      <c r="A28" s="248" t="n"/>
      <c r="B28" s="248" t="n"/>
      <c r="C28" s="247" t="inlineStr">
        <is>
          <t>Итого прочее оборудование</t>
        </is>
      </c>
      <c r="D28" s="248" t="n"/>
      <c r="E28" s="335" t="n"/>
      <c r="F28" s="250" t="n"/>
      <c r="G28" s="32" t="n">
        <v>0</v>
      </c>
      <c r="H28" s="130" t="n">
        <v>0</v>
      </c>
      <c r="I28" s="129" t="n"/>
      <c r="J28" s="32" t="n">
        <v>0</v>
      </c>
    </row>
    <row r="29">
      <c r="A29" s="248" t="n"/>
      <c r="B29" s="248" t="n"/>
      <c r="C29" s="237" t="inlineStr">
        <is>
          <t>Итого по разделу «Оборудование»</t>
        </is>
      </c>
      <c r="D29" s="248" t="n"/>
      <c r="E29" s="249" t="n"/>
      <c r="F29" s="250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 s="213">
      <c r="A30" s="248" t="n"/>
      <c r="B30" s="248" t="n"/>
      <c r="C30" s="247" t="inlineStr">
        <is>
          <t>в том числе технологическое оборудование</t>
        </is>
      </c>
      <c r="D30" s="248" t="n"/>
      <c r="E30" s="336" t="n"/>
      <c r="F30" s="250" t="n"/>
      <c r="G30" s="32">
        <f>'Прил.6 Расчет ОБ'!G12</f>
        <v/>
      </c>
      <c r="H30" s="251" t="n"/>
      <c r="I30" s="129" t="n"/>
      <c r="J30" s="32">
        <f>J29</f>
        <v/>
      </c>
    </row>
    <row r="31" ht="14.25" customFormat="1" customHeight="1" s="198">
      <c r="A31" s="248" t="n"/>
      <c r="B31" s="237" t="inlineStr">
        <is>
          <t>Материалы</t>
        </is>
      </c>
      <c r="C31" s="325" t="n"/>
      <c r="D31" s="325" t="n"/>
      <c r="E31" s="325" t="n"/>
      <c r="F31" s="325" t="n"/>
      <c r="G31" s="325" t="n"/>
      <c r="H31" s="326" t="n"/>
      <c r="I31" s="127" t="n"/>
      <c r="J31" s="127" t="n"/>
    </row>
    <row r="32" ht="14.25" customFormat="1" customHeight="1" s="198">
      <c r="A32" s="243" t="n"/>
      <c r="B32" s="242" t="inlineStr">
        <is>
          <t>Основные материалы</t>
        </is>
      </c>
      <c r="C32" s="337" t="n"/>
      <c r="D32" s="337" t="n"/>
      <c r="E32" s="337" t="n"/>
      <c r="F32" s="337" t="n"/>
      <c r="G32" s="337" t="n"/>
      <c r="H32" s="338" t="n"/>
      <c r="I32" s="140" t="n"/>
      <c r="J32" s="140" t="n"/>
    </row>
    <row r="33" ht="14.25" customFormat="1" customHeight="1" s="198">
      <c r="A33" s="248" t="n">
        <v>5</v>
      </c>
      <c r="B33" s="186" t="inlineStr">
        <is>
          <t>БЦ.91.178</t>
        </is>
      </c>
      <c r="C33" s="171" t="inlineStr">
        <is>
          <t>Муфта соединительная 35 кВ 630 мм2</t>
        </is>
      </c>
      <c r="D33" s="248" t="inlineStr">
        <is>
          <t>шт</t>
        </is>
      </c>
      <c r="E33" s="336" t="n">
        <v>6</v>
      </c>
      <c r="F33" s="250">
        <f>ROUND(I33/'Прил. 10'!$D$13,2)</f>
        <v/>
      </c>
      <c r="G33" s="32">
        <f>ROUND(E33*F33,2)</f>
        <v/>
      </c>
      <c r="H33" s="130">
        <f>G33/$G$44</f>
        <v/>
      </c>
      <c r="I33" s="32" t="n">
        <v>10138.16</v>
      </c>
      <c r="J33" s="32">
        <f>ROUND(I33*E33,2)</f>
        <v/>
      </c>
    </row>
    <row r="34" ht="14.25" customFormat="1" customHeight="1" s="198">
      <c r="A34" s="259" t="n"/>
      <c r="B34" s="142" t="n"/>
      <c r="C34" s="143" t="inlineStr">
        <is>
          <t>Итого основные материалы</t>
        </is>
      </c>
      <c r="D34" s="259" t="n"/>
      <c r="E34" s="339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98">
      <c r="A35" s="248" t="n">
        <v>6</v>
      </c>
      <c r="B35" s="137" t="inlineStr">
        <is>
          <t>10.3.02.03-0011</t>
        </is>
      </c>
      <c r="C35" s="247" t="inlineStr">
        <is>
          <t>Припои оловянно-свинцовые бессурьмянистые, марка ПОС30</t>
        </is>
      </c>
      <c r="D35" s="248" t="inlineStr">
        <is>
          <t>т</t>
        </is>
      </c>
      <c r="E35" s="336" t="n">
        <v>0.0174</v>
      </c>
      <c r="F35" s="250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38.25" customFormat="1" customHeight="1" s="198">
      <c r="A36" s="248" t="n">
        <v>7</v>
      </c>
      <c r="B36" s="137" t="inlineStr">
        <is>
          <t>10.2.02.08-0001</t>
        </is>
      </c>
      <c r="C36" s="247" t="inlineStr">
        <is>
          <t>Проволока медная, круглая, мягкая, электротехническая, диаметр 1,0-3,0 мм и выше</t>
        </is>
      </c>
      <c r="D36" s="248" t="inlineStr">
        <is>
          <t>т</t>
        </is>
      </c>
      <c r="E36" s="336" t="n">
        <v>0.0075</v>
      </c>
      <c r="F36" s="250" t="n">
        <v>37517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98">
      <c r="A37" s="248" t="n">
        <v>8</v>
      </c>
      <c r="B37" s="137" t="inlineStr">
        <is>
          <t>01.1.02.01-0003</t>
        </is>
      </c>
      <c r="C37" s="247" t="inlineStr">
        <is>
          <t>Асботекстолит, марка Г</t>
        </is>
      </c>
      <c r="D37" s="248" t="inlineStr">
        <is>
          <t>т</t>
        </is>
      </c>
      <c r="E37" s="336" t="n">
        <v>0.00075</v>
      </c>
      <c r="F37" s="250" t="n">
        <v>161000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98">
      <c r="A38" s="248" t="n">
        <v>9</v>
      </c>
      <c r="B38" s="137" t="inlineStr">
        <is>
          <t>01.3.02.09-0022</t>
        </is>
      </c>
      <c r="C38" s="247" t="inlineStr">
        <is>
          <t>Пропан-бутан смесь техническая</t>
        </is>
      </c>
      <c r="D38" s="248" t="inlineStr">
        <is>
          <t>кг</t>
        </is>
      </c>
      <c r="E38" s="336" t="n">
        <v>15</v>
      </c>
      <c r="F38" s="250" t="n">
        <v>6.09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98">
      <c r="A39" s="248" t="n">
        <v>10</v>
      </c>
      <c r="B39" s="137" t="inlineStr">
        <is>
          <t>14.4.02.09-0001</t>
        </is>
      </c>
      <c r="C39" s="247" t="inlineStr">
        <is>
          <t>Краска</t>
        </is>
      </c>
      <c r="D39" s="248" t="inlineStr">
        <is>
          <t>кг</t>
        </is>
      </c>
      <c r="E39" s="336" t="n">
        <v>2.61</v>
      </c>
      <c r="F39" s="250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98">
      <c r="A40" s="248" t="n">
        <v>11</v>
      </c>
      <c r="B40" s="137" t="inlineStr">
        <is>
          <t>20.1.02.06-0001</t>
        </is>
      </c>
      <c r="C40" s="247" t="inlineStr">
        <is>
          <t>Жир паяльный</t>
        </is>
      </c>
      <c r="D40" s="248" t="inlineStr">
        <is>
          <t>кг</t>
        </is>
      </c>
      <c r="E40" s="336" t="n">
        <v>0.18</v>
      </c>
      <c r="F40" s="250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98">
      <c r="A41" s="248" t="n">
        <v>12</v>
      </c>
      <c r="B41" s="137" t="inlineStr">
        <is>
          <t>01.3.01.05-0009</t>
        </is>
      </c>
      <c r="C41" s="247" t="inlineStr">
        <is>
          <t>Парафины нефтяные твердые марки Т-1</t>
        </is>
      </c>
      <c r="D41" s="248" t="inlineStr">
        <is>
          <t>т</t>
        </is>
      </c>
      <c r="E41" s="336" t="n">
        <v>0.0018</v>
      </c>
      <c r="F41" s="250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98">
      <c r="A42" s="248" t="n">
        <v>13</v>
      </c>
      <c r="B42" s="137" t="inlineStr">
        <is>
          <t>01.7.20.08-0031</t>
        </is>
      </c>
      <c r="C42" s="247" t="inlineStr">
        <is>
          <t>Бязь суровая</t>
        </is>
      </c>
      <c r="D42" s="248" t="inlineStr">
        <is>
          <t>10 м2</t>
        </is>
      </c>
      <c r="E42" s="336" t="n">
        <v>0.03</v>
      </c>
      <c r="F42" s="250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98">
      <c r="A43" s="259" t="n"/>
      <c r="B43" s="259" t="n"/>
      <c r="C43" s="143" t="inlineStr">
        <is>
          <t>Итого прочие материалы</t>
        </is>
      </c>
      <c r="D43" s="259" t="n"/>
      <c r="E43" s="339" t="n"/>
      <c r="F43" s="181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98">
      <c r="A44" s="248" t="n"/>
      <c r="B44" s="248" t="n"/>
      <c r="C44" s="237" t="inlineStr">
        <is>
          <t>Итого по разделу «Материалы»</t>
        </is>
      </c>
      <c r="D44" s="248" t="n"/>
      <c r="E44" s="249" t="n"/>
      <c r="F44" s="250" t="n"/>
      <c r="G44" s="32">
        <f>G34+G43</f>
        <v/>
      </c>
      <c r="H44" s="251">
        <f>G44/$G$44</f>
        <v/>
      </c>
      <c r="I44" s="32" t="n"/>
      <c r="J44" s="32">
        <f>J34+J43</f>
        <v/>
      </c>
    </row>
    <row r="45" ht="14.25" customFormat="1" customHeight="1" s="198">
      <c r="A45" s="248" t="n"/>
      <c r="B45" s="248" t="n"/>
      <c r="C45" s="247" t="inlineStr">
        <is>
          <t>ИТОГО ПО РМ</t>
        </is>
      </c>
      <c r="D45" s="248" t="n"/>
      <c r="E45" s="249" t="n"/>
      <c r="F45" s="250" t="n"/>
      <c r="G45" s="32">
        <f>G15+G24+G44</f>
        <v/>
      </c>
      <c r="H45" s="251" t="n"/>
      <c r="I45" s="32" t="n"/>
      <c r="J45" s="32">
        <f>J15+J24+J44</f>
        <v/>
      </c>
    </row>
    <row r="46" ht="14.25" customFormat="1" customHeight="1" s="198">
      <c r="A46" s="248" t="n"/>
      <c r="B46" s="248" t="n"/>
      <c r="C46" s="247" t="inlineStr">
        <is>
          <t>Накладные расходы</t>
        </is>
      </c>
      <c r="D46" s="135">
        <f>ROUND(G46/(G$17+$G$15),2)</f>
        <v/>
      </c>
      <c r="E46" s="249" t="n"/>
      <c r="F46" s="250" t="n"/>
      <c r="G46" s="32" t="n">
        <v>1062.91</v>
      </c>
      <c r="H46" s="251" t="n"/>
      <c r="I46" s="32" t="n"/>
      <c r="J46" s="32">
        <f>ROUND(D46*(J15+J17),2)</f>
        <v/>
      </c>
    </row>
    <row r="47" ht="14.25" customFormat="1" customHeight="1" s="198">
      <c r="A47" s="248" t="n"/>
      <c r="B47" s="248" t="n"/>
      <c r="C47" s="247" t="inlineStr">
        <is>
          <t>Сметная прибыль</t>
        </is>
      </c>
      <c r="D47" s="135">
        <f>ROUND(G47/(G$15+G$17),2)</f>
        <v/>
      </c>
      <c r="E47" s="249" t="n"/>
      <c r="F47" s="250" t="n"/>
      <c r="G47" s="32" t="n">
        <v>558.85</v>
      </c>
      <c r="H47" s="251" t="n"/>
      <c r="I47" s="32" t="n"/>
      <c r="J47" s="32">
        <f>ROUND(D47*(J15+J17),2)</f>
        <v/>
      </c>
    </row>
    <row r="48" ht="14.25" customFormat="1" customHeight="1" s="198">
      <c r="A48" s="248" t="n"/>
      <c r="B48" s="248" t="n"/>
      <c r="C48" s="247" t="inlineStr">
        <is>
          <t>Итого СМР (с НР и СП)</t>
        </is>
      </c>
      <c r="D48" s="248" t="n"/>
      <c r="E48" s="249" t="n"/>
      <c r="F48" s="250" t="n"/>
      <c r="G48" s="32">
        <f>G15+G24+G44+G46+G47</f>
        <v/>
      </c>
      <c r="H48" s="251" t="n"/>
      <c r="I48" s="32" t="n"/>
      <c r="J48" s="32">
        <f>J15+J24+J44+J46+J47</f>
        <v/>
      </c>
    </row>
    <row r="49" ht="14.25" customFormat="1" customHeight="1" s="198">
      <c r="A49" s="248" t="n"/>
      <c r="B49" s="248" t="n"/>
      <c r="C49" s="247" t="inlineStr">
        <is>
          <t>ВСЕГО СМР + ОБОРУДОВАНИЕ</t>
        </is>
      </c>
      <c r="D49" s="248" t="n"/>
      <c r="E49" s="249" t="n"/>
      <c r="F49" s="250" t="n"/>
      <c r="G49" s="32">
        <f>G48+G29</f>
        <v/>
      </c>
      <c r="H49" s="251" t="n"/>
      <c r="I49" s="32" t="n"/>
      <c r="J49" s="32">
        <f>J48+J29</f>
        <v/>
      </c>
    </row>
    <row r="50" ht="34.5" customFormat="1" customHeight="1" s="198">
      <c r="A50" s="248" t="n"/>
      <c r="B50" s="248" t="n"/>
      <c r="C50" s="247" t="inlineStr">
        <is>
          <t>ИТОГО ПОКАЗАТЕЛЬ НА ЕД. ИЗМ.</t>
        </is>
      </c>
      <c r="D50" s="248" t="inlineStr">
        <is>
          <t>1 ед</t>
        </is>
      </c>
      <c r="E50" s="336" t="n">
        <v>1</v>
      </c>
      <c r="F50" s="250" t="n"/>
      <c r="G50" s="32">
        <f>G49/E50</f>
        <v/>
      </c>
      <c r="H50" s="251" t="n"/>
      <c r="I50" s="32" t="n"/>
      <c r="J50" s="32">
        <f>J49/E50</f>
        <v/>
      </c>
    </row>
    <row r="52" ht="14.25" customFormat="1" customHeight="1" s="198">
      <c r="A52" s="197" t="inlineStr">
        <is>
          <t>Составил ______________________    А.Р. Маркова</t>
        </is>
      </c>
    </row>
    <row r="53" ht="14.25" customFormat="1" customHeight="1" s="198">
      <c r="A53" s="200" t="inlineStr">
        <is>
          <t xml:space="preserve">                         (подпись, инициалы, фамилия)</t>
        </is>
      </c>
    </row>
    <row r="54" ht="14.25" customFormat="1" customHeight="1" s="198">
      <c r="A54" s="197" t="n"/>
    </row>
    <row r="55" ht="14.25" customFormat="1" customHeight="1" s="198">
      <c r="A55" s="197" t="inlineStr">
        <is>
          <t>Проверил ______________________        А.В. Костянецкая</t>
        </is>
      </c>
    </row>
    <row r="56" ht="14.25" customFormat="1" customHeight="1" s="198">
      <c r="A56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3" min="1" max="1"/>
    <col width="17.5546875" customWidth="1" style="213" min="2" max="2"/>
    <col width="39.109375" customWidth="1" style="213" min="3" max="3"/>
    <col width="10.6640625" customWidth="1" style="213" min="4" max="4"/>
    <col width="13.88671875" customWidth="1" style="213" min="5" max="5"/>
    <col width="13.33203125" customWidth="1" style="213" min="6" max="6"/>
    <col width="14.109375" customWidth="1" style="213" min="7" max="7"/>
  </cols>
  <sheetData>
    <row r="1">
      <c r="A1" s="261" t="inlineStr">
        <is>
          <t>Приложение №6</t>
        </is>
      </c>
    </row>
    <row r="2" ht="21.75" customHeight="1" s="213">
      <c r="A2" s="261" t="n"/>
      <c r="B2" s="261" t="n"/>
      <c r="C2" s="261" t="n"/>
      <c r="D2" s="261" t="n"/>
      <c r="E2" s="261" t="n"/>
      <c r="F2" s="261" t="n"/>
      <c r="G2" s="261" t="n"/>
    </row>
    <row r="3">
      <c r="A3" s="218" t="inlineStr">
        <is>
          <t>Расчет стоимости оборудования</t>
        </is>
      </c>
    </row>
    <row r="4" ht="25.5" customHeight="1" s="213">
      <c r="A4" s="221" t="inlineStr">
        <is>
          <t>Наименование разрабатываемого показателя УНЦ — КЛ 35 кВ (с медной жилой) сечение жилы 630 мм2. Муфта соединительная 35 кВ 630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.15" customHeight="1" s="213">
      <c r="A6" s="266" t="inlineStr">
        <is>
          <t>№ пп.</t>
        </is>
      </c>
      <c r="B6" s="266" t="inlineStr">
        <is>
          <t>Код ресурса</t>
        </is>
      </c>
      <c r="C6" s="266" t="inlineStr">
        <is>
          <t>Наименование</t>
        </is>
      </c>
      <c r="D6" s="266" t="inlineStr">
        <is>
          <t>Ед. изм.</t>
        </is>
      </c>
      <c r="E6" s="248" t="inlineStr">
        <is>
          <t>Кол-во единиц по проектным данным</t>
        </is>
      </c>
      <c r="F6" s="266" t="inlineStr">
        <is>
          <t>Сметная стоимость в ценах на 01.01.2000 (руб.)</t>
        </is>
      </c>
      <c r="G6" s="326" t="n"/>
    </row>
    <row r="7">
      <c r="A7" s="328" t="n"/>
      <c r="B7" s="328" t="n"/>
      <c r="C7" s="328" t="n"/>
      <c r="D7" s="328" t="n"/>
      <c r="E7" s="328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213">
      <c r="A9" s="25" t="n"/>
      <c r="B9" s="247" t="inlineStr">
        <is>
          <t>ИНЖЕНЕРНОЕ ОБОРУДОВАНИЕ</t>
        </is>
      </c>
      <c r="C9" s="325" t="n"/>
      <c r="D9" s="325" t="n"/>
      <c r="E9" s="325" t="n"/>
      <c r="F9" s="325" t="n"/>
      <c r="G9" s="326" t="n"/>
    </row>
    <row r="10" ht="27" customHeight="1" s="213">
      <c r="A10" s="248" t="n"/>
      <c r="B10" s="237" t="n"/>
      <c r="C10" s="247" t="inlineStr">
        <is>
          <t>ИТОГО ИНЖЕНЕРНОЕ ОБОРУДОВАНИЕ</t>
        </is>
      </c>
      <c r="D10" s="237" t="n"/>
      <c r="E10" s="105" t="n"/>
      <c r="F10" s="250" t="n"/>
      <c r="G10" s="250" t="n">
        <v>0</v>
      </c>
    </row>
    <row r="11">
      <c r="A11" s="248" t="n"/>
      <c r="B11" s="247" t="inlineStr">
        <is>
          <t>ТЕХНОЛОГИЧЕСКОЕ ОБОРУДОВАНИЕ</t>
        </is>
      </c>
      <c r="C11" s="325" t="n"/>
      <c r="D11" s="325" t="n"/>
      <c r="E11" s="325" t="n"/>
      <c r="F11" s="325" t="n"/>
      <c r="G11" s="326" t="n"/>
    </row>
    <row r="12" ht="25.5" customHeight="1" s="213">
      <c r="A12" s="248" t="n"/>
      <c r="B12" s="247" t="n"/>
      <c r="C12" s="247" t="inlineStr">
        <is>
          <t>ИТОГО ТЕХНОЛОГИЧЕСКОЕ ОБОРУДОВАНИЕ</t>
        </is>
      </c>
      <c r="D12" s="247" t="n"/>
      <c r="E12" s="265" t="n"/>
      <c r="F12" s="250" t="n"/>
      <c r="G12" s="32" t="n">
        <v>0</v>
      </c>
    </row>
    <row r="13" ht="19.5" customHeight="1" s="213">
      <c r="A13" s="248" t="n"/>
      <c r="B13" s="247" t="n"/>
      <c r="C13" s="247" t="inlineStr">
        <is>
          <t>Всего по разделу «Оборудование»</t>
        </is>
      </c>
      <c r="D13" s="247" t="n"/>
      <c r="E13" s="265" t="n"/>
      <c r="F13" s="250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13" min="1" max="1"/>
    <col width="22.44140625" customWidth="1" style="213" min="2" max="2"/>
    <col width="37.109375" customWidth="1" style="213" min="3" max="3"/>
    <col width="49" customWidth="1" style="213" min="4" max="4"/>
    <col width="9.109375" customWidth="1" style="213" min="5" max="5"/>
  </cols>
  <sheetData>
    <row r="1" ht="15.75" customHeight="1" s="213">
      <c r="A1" s="215" t="n"/>
      <c r="B1" s="215" t="n"/>
      <c r="C1" s="215" t="n"/>
      <c r="D1" s="215" t="inlineStr">
        <is>
          <t>Приложение №7</t>
        </is>
      </c>
    </row>
    <row r="2" ht="15.75" customHeight="1" s="213">
      <c r="A2" s="215" t="n"/>
      <c r="B2" s="215" t="n"/>
      <c r="C2" s="215" t="n"/>
      <c r="D2" s="215" t="n"/>
    </row>
    <row r="3" ht="15.75" customHeight="1" s="213">
      <c r="A3" s="215" t="n"/>
      <c r="B3" s="192" t="inlineStr">
        <is>
          <t>Расчет показателя УНЦ</t>
        </is>
      </c>
      <c r="C3" s="215" t="n"/>
      <c r="D3" s="215" t="n"/>
    </row>
    <row r="4" ht="15.75" customHeight="1" s="213">
      <c r="A4" s="215" t="n"/>
      <c r="B4" s="215" t="n"/>
      <c r="C4" s="215" t="n"/>
      <c r="D4" s="215" t="n"/>
    </row>
    <row r="5" ht="31.5" customHeight="1" s="213">
      <c r="A5" s="267" t="inlineStr">
        <is>
          <t xml:space="preserve">Наименование разрабатываемого показателя УНЦ - </t>
        </is>
      </c>
      <c r="D5" s="267">
        <f>'Прил.5 Расчет СМР и ОБ'!D6:J6</f>
        <v/>
      </c>
    </row>
    <row r="6" ht="15.75" customHeight="1" s="213">
      <c r="A6" s="215" t="inlineStr">
        <is>
          <t>Единица измерения  — 1 ед</t>
        </is>
      </c>
      <c r="B6" s="215" t="n"/>
      <c r="C6" s="215" t="n"/>
      <c r="D6" s="215" t="n"/>
    </row>
    <row r="7" ht="15.75" customHeight="1" s="213">
      <c r="A7" s="215" t="n"/>
      <c r="B7" s="215" t="n"/>
      <c r="C7" s="215" t="n"/>
      <c r="D7" s="215" t="n"/>
    </row>
    <row r="8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>
      <c r="A9" s="328" t="n"/>
      <c r="B9" s="328" t="n"/>
      <c r="C9" s="328" t="n"/>
      <c r="D9" s="328" t="n"/>
    </row>
    <row r="10" ht="15.75" customHeight="1" s="213">
      <c r="A10" s="234" t="n">
        <v>1</v>
      </c>
      <c r="B10" s="234" t="n">
        <v>2</v>
      </c>
      <c r="C10" s="234" t="n">
        <v>3</v>
      </c>
      <c r="D10" s="234" t="n">
        <v>4</v>
      </c>
    </row>
    <row r="11" ht="47.25" customHeight="1" s="213">
      <c r="A11" s="234" t="inlineStr">
        <is>
          <t>К2-12-4</t>
        </is>
      </c>
      <c r="B11" s="234" t="inlineStr">
        <is>
          <t xml:space="preserve">УНЦ КЛ 6 - 500 кВ (с медной жилой) </t>
        </is>
      </c>
      <c r="C11" s="195">
        <f>D5</f>
        <v/>
      </c>
      <c r="D11" s="196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3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40.6640625" customWidth="1" style="213" min="2" max="2"/>
    <col width="37" customWidth="1" style="213" min="3" max="3"/>
    <col width="32" customWidth="1" style="213" min="4" max="4"/>
  </cols>
  <sheetData>
    <row r="4" ht="15.75" customHeight="1" s="213">
      <c r="B4" s="228" t="inlineStr">
        <is>
          <t>Приложение № 10</t>
        </is>
      </c>
    </row>
    <row r="5" ht="18.75" customHeight="1" s="213">
      <c r="B5" s="120" t="n"/>
    </row>
    <row r="6" ht="15.75" customHeight="1" s="213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 s="213">
      <c r="B9" s="234" t="inlineStr">
        <is>
          <t>Наименование индекса / норм сопутствующих затрат</t>
        </is>
      </c>
      <c r="C9" s="234" t="inlineStr">
        <is>
          <t>Дата применения и обоснование индекса / норм сопутствующих затрат</t>
        </is>
      </c>
      <c r="D9" s="234" t="inlineStr">
        <is>
          <t>Размер индекса / норма сопутствующих затрат</t>
        </is>
      </c>
    </row>
    <row r="10" ht="15.75" customHeight="1" s="213">
      <c r="B10" s="234" t="n">
        <v>1</v>
      </c>
      <c r="C10" s="234" t="n">
        <v>2</v>
      </c>
      <c r="D10" s="234" t="n">
        <v>3</v>
      </c>
    </row>
    <row r="11" ht="45" customHeight="1" s="213">
      <c r="B11" s="234" t="inlineStr">
        <is>
          <t xml:space="preserve">Индекс изменения сметной стоимости на 1 квартал 2023 года. ОЗП </t>
        </is>
      </c>
      <c r="C11" s="234" t="inlineStr">
        <is>
          <t>Письмо Минстроя России от 30.03.2023г. №17106-ИФ/09  прил.1</t>
        </is>
      </c>
      <c r="D11" s="234" t="n">
        <v>44.29</v>
      </c>
    </row>
    <row r="12" ht="29.25" customHeight="1" s="213">
      <c r="B12" s="234" t="inlineStr">
        <is>
          <t>Индекс изменения сметной стоимости на 1 квартал 2023 года. ЭМ</t>
        </is>
      </c>
      <c r="C12" s="234" t="inlineStr">
        <is>
          <t>Письмо Минстроя России от 30.03.2023г. №17106-ИФ/09  прил.1</t>
        </is>
      </c>
      <c r="D12" s="234" t="n">
        <v>10.77</v>
      </c>
    </row>
    <row r="13" ht="29.25" customHeight="1" s="213">
      <c r="B13" s="234" t="inlineStr">
        <is>
          <t>Индекс изменения сметной стоимости на 1 квартал 2023 года. МАТ</t>
        </is>
      </c>
      <c r="C13" s="234" t="inlineStr">
        <is>
          <t>Письмо Минстроя России от 30.03.2023г. №17106-ИФ/09  прил.1</t>
        </is>
      </c>
      <c r="D13" s="234" t="n">
        <v>4.39</v>
      </c>
    </row>
    <row r="14" ht="30.75" customHeight="1" s="213">
      <c r="B14" s="23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4" t="n">
        <v>6.26</v>
      </c>
    </row>
    <row r="15" ht="89.40000000000001" customHeight="1" s="213">
      <c r="B15" s="234" t="inlineStr">
        <is>
          <t>Временные здания и сооружения</t>
        </is>
      </c>
      <c r="C15" s="23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3">
      <c r="B16" s="234" t="inlineStr">
        <is>
          <t>Дополнительные затраты при производстве строительно-монтажных работ в зимнее время</t>
        </is>
      </c>
      <c r="C16" s="2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65" customHeight="1" s="213">
      <c r="B17" s="234" t="inlineStr">
        <is>
          <t>Строительный контроль</t>
        </is>
      </c>
      <c r="C17" s="234" t="inlineStr">
        <is>
          <t>Постановление Правительства РФ от 21.06.10 г. № 468</t>
        </is>
      </c>
      <c r="D17" s="122" t="n">
        <v>0.0214</v>
      </c>
    </row>
    <row r="18" ht="31.65" customHeight="1" s="213">
      <c r="B18" s="234" t="inlineStr">
        <is>
          <t>Авторский надзор - 0,2%</t>
        </is>
      </c>
      <c r="C18" s="234" t="inlineStr">
        <is>
          <t>Приказ от 4.08.2020 № 421/пр п.173</t>
        </is>
      </c>
      <c r="D18" s="122" t="n">
        <v>0.002</v>
      </c>
    </row>
    <row r="19" ht="24" customHeight="1" s="213">
      <c r="B19" s="234" t="inlineStr">
        <is>
          <t>Непредвиденные расходы</t>
        </is>
      </c>
      <c r="C19" s="234" t="inlineStr">
        <is>
          <t>Приказ от 4.08.2020 № 421/пр п.179</t>
        </is>
      </c>
      <c r="D19" s="122" t="n">
        <v>0.03</v>
      </c>
    </row>
    <row r="20" ht="18.75" customHeight="1" s="213">
      <c r="B20" s="121" t="n"/>
    </row>
    <row r="21" ht="18.75" customHeight="1" s="213">
      <c r="B21" s="121" t="n"/>
    </row>
    <row r="22" ht="18.75" customHeight="1" s="213">
      <c r="B22" s="121" t="n"/>
    </row>
    <row r="23" ht="18.75" customHeight="1" s="213">
      <c r="B23" s="121" t="n"/>
    </row>
    <row r="26">
      <c r="B26" s="197" t="inlineStr">
        <is>
          <t>Составил ______________________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13" min="2" max="2"/>
    <col width="13" customWidth="1" style="213" min="3" max="3"/>
    <col width="22.88671875" customWidth="1" style="213" min="4" max="4"/>
    <col width="21.5546875" customWidth="1" style="213" min="5" max="5"/>
    <col width="43.88671875" customWidth="1" style="213" min="6" max="6"/>
  </cols>
  <sheetData>
    <row r="1" s="213"/>
    <row r="2" ht="17.25" customHeight="1" s="213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3" s="213"/>
    <row r="4" ht="18" customHeight="1" s="213">
      <c r="A4" s="214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 s="213">
      <c r="A5" s="312" t="inlineStr">
        <is>
          <t>№ пп.</t>
        </is>
      </c>
      <c r="B5" s="312" t="inlineStr">
        <is>
          <t>Наименование элемента</t>
        </is>
      </c>
      <c r="C5" s="312" t="inlineStr">
        <is>
          <t>Обозначение</t>
        </is>
      </c>
      <c r="D5" s="312" t="inlineStr">
        <is>
          <t>Формула</t>
        </is>
      </c>
      <c r="E5" s="312" t="inlineStr">
        <is>
          <t>Величина элемента</t>
        </is>
      </c>
      <c r="F5" s="312" t="inlineStr">
        <is>
          <t>Наименования обосновывающих документов</t>
        </is>
      </c>
      <c r="G5" s="215" t="n"/>
    </row>
    <row r="6" ht="15.75" customHeight="1" s="213">
      <c r="A6" s="312" t="n">
        <v>1</v>
      </c>
      <c r="B6" s="312" t="n">
        <v>2</v>
      </c>
      <c r="C6" s="312" t="n">
        <v>3</v>
      </c>
      <c r="D6" s="312" t="n">
        <v>4</v>
      </c>
      <c r="E6" s="312" t="n">
        <v>5</v>
      </c>
      <c r="F6" s="312" t="n">
        <v>6</v>
      </c>
      <c r="G6" s="215" t="n"/>
    </row>
    <row r="7" ht="110.25" customHeight="1" s="213">
      <c r="A7" s="313" t="inlineStr">
        <is>
          <t>1.1</t>
        </is>
      </c>
      <c r="B7" s="3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5" t="inlineStr">
        <is>
          <t>С1ср</t>
        </is>
      </c>
      <c r="D7" s="315" t="inlineStr">
        <is>
          <t>-</t>
        </is>
      </c>
      <c r="E7" s="316" t="n">
        <v>47872.94</v>
      </c>
      <c r="F7" s="3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5" customHeight="1" s="213">
      <c r="A8" s="313" t="inlineStr">
        <is>
          <t>1.2</t>
        </is>
      </c>
      <c r="B8" s="314" t="inlineStr">
        <is>
          <t>Среднегодовое нормативное число часов работы одного рабочего в месяц, часы (ч.)</t>
        </is>
      </c>
      <c r="C8" s="315" t="inlineStr">
        <is>
          <t>tср</t>
        </is>
      </c>
      <c r="D8" s="315" t="inlineStr">
        <is>
          <t>1973ч/12мес.</t>
        </is>
      </c>
      <c r="E8" s="317">
        <f>1973/12</f>
        <v/>
      </c>
      <c r="F8" s="314" t="inlineStr">
        <is>
          <t>Производственный календарь 2023 год
(40-часов.неделя)</t>
        </is>
      </c>
      <c r="G8" s="217" t="n"/>
    </row>
    <row r="9" ht="15.75" customHeight="1" s="213">
      <c r="A9" s="313" t="inlineStr">
        <is>
          <t>1.3</t>
        </is>
      </c>
      <c r="B9" s="314" t="inlineStr">
        <is>
          <t>Коэффициент увеличения</t>
        </is>
      </c>
      <c r="C9" s="315" t="inlineStr">
        <is>
          <t>Кув</t>
        </is>
      </c>
      <c r="D9" s="315" t="inlineStr">
        <is>
          <t>-</t>
        </is>
      </c>
      <c r="E9" s="317" t="n">
        <v>1</v>
      </c>
      <c r="F9" s="314" t="n"/>
      <c r="G9" s="217" t="n"/>
    </row>
    <row r="10" ht="15.75" customHeight="1" s="213">
      <c r="A10" s="313" t="inlineStr">
        <is>
          <t>1.4</t>
        </is>
      </c>
      <c r="B10" s="314" t="inlineStr">
        <is>
          <t>Средний разряд работ</t>
        </is>
      </c>
      <c r="C10" s="315" t="n"/>
      <c r="D10" s="315" t="n"/>
      <c r="E10" s="340" t="n">
        <v>4</v>
      </c>
      <c r="F10" s="314" t="inlineStr">
        <is>
          <t>РТМ</t>
        </is>
      </c>
      <c r="G10" s="217" t="n"/>
    </row>
    <row r="11" ht="78.75" customHeight="1" s="213">
      <c r="A11" s="313" t="inlineStr">
        <is>
          <t>1.5</t>
        </is>
      </c>
      <c r="B11" s="314" t="inlineStr">
        <is>
          <t>Тарифный коэффициент среднего разряда работ</t>
        </is>
      </c>
      <c r="C11" s="315" t="inlineStr">
        <is>
          <t>КТ</t>
        </is>
      </c>
      <c r="D11" s="315" t="inlineStr">
        <is>
          <t>-</t>
        </is>
      </c>
      <c r="E11" s="341" t="n">
        <v>1.34</v>
      </c>
      <c r="F11" s="3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 s="213">
      <c r="A12" s="313" t="inlineStr">
        <is>
          <t>1.6</t>
        </is>
      </c>
      <c r="B12" s="320" t="inlineStr">
        <is>
          <t>Коэффициент инфляции, определяемый поквартально</t>
        </is>
      </c>
      <c r="C12" s="315" t="inlineStr">
        <is>
          <t>Кинф</t>
        </is>
      </c>
      <c r="D12" s="315" t="inlineStr">
        <is>
          <t>-</t>
        </is>
      </c>
      <c r="E12" s="342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3">
      <c r="A13" s="313" t="inlineStr">
        <is>
          <t>1.7</t>
        </is>
      </c>
      <c r="B13" s="323" t="inlineStr">
        <is>
          <t>Размер средств на оплату труда рабочих-строителей в текущем уровне цен (ФОТр.тек.), руб/чел.-ч</t>
        </is>
      </c>
      <c r="C13" s="315" t="inlineStr">
        <is>
          <t>ФОТр.тек.</t>
        </is>
      </c>
      <c r="D13" s="315" t="inlineStr">
        <is>
          <t>(С1ср/tср*КТ*Т*Кув)*Кинф</t>
        </is>
      </c>
      <c r="E13" s="324">
        <f>((E7*E9/E8)*E11)*E12</f>
        <v/>
      </c>
      <c r="F13" s="3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2025-01-24T12:06:13Z</dcterms:modified>
  <cp:lastModifiedBy>user1</cp:lastModifiedBy>
</cp:coreProperties>
</file>