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vertical="top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9" min="1" max="2"/>
    <col width="51.7109375" customWidth="1" style="339" min="3" max="3"/>
    <col width="47" customWidth="1" style="339" min="4" max="4"/>
    <col width="37.42578125" customWidth="1" style="339" min="5" max="5"/>
    <col width="9.140625" customWidth="1" style="339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37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7">
      <c r="B6" s="250" t="n"/>
      <c r="C6" s="250" t="n"/>
      <c r="D6" s="250" t="n"/>
    </row>
    <row r="7" ht="28.9" customHeight="1" s="337">
      <c r="B7" s="371" t="inlineStr">
        <is>
          <t>Наименование разрабатываемого показателя УНЦ - КЛ 6 кВ (с медной жилой) сечение жилы 1000 мм2</t>
        </is>
      </c>
    </row>
    <row r="8" ht="31.5" customHeight="1" s="337">
      <c r="B8" s="331" t="inlineStr">
        <is>
          <t xml:space="preserve">Сопоставимый уровень цен: </t>
        </is>
      </c>
      <c r="C8" s="331" t="n"/>
      <c r="D8" s="332">
        <f>D22</f>
        <v/>
      </c>
    </row>
    <row r="9" ht="15.75" customHeight="1" s="337">
      <c r="B9" s="371" t="inlineStr">
        <is>
          <t>Единица измерения  — 1 км</t>
        </is>
      </c>
    </row>
    <row r="10">
      <c r="B10" s="371" t="n"/>
    </row>
    <row r="11">
      <c r="B11" s="377" t="inlineStr">
        <is>
          <t>№ п/п</t>
        </is>
      </c>
      <c r="C11" s="377" t="inlineStr">
        <is>
          <t>Параметр</t>
        </is>
      </c>
      <c r="D11" s="377" t="inlineStr">
        <is>
          <t xml:space="preserve">Объект-представитель </t>
        </is>
      </c>
      <c r="E11" s="228" t="n"/>
    </row>
    <row r="12" ht="96.75" customHeight="1" s="337">
      <c r="B12" s="377" t="n">
        <v>1</v>
      </c>
      <c r="C12" s="351" t="inlineStr">
        <is>
          <t>Наименование объекта-представителя</t>
        </is>
      </c>
      <c r="D12" s="37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7" t="n">
        <v>2</v>
      </c>
      <c r="C13" s="351" t="inlineStr">
        <is>
          <t>Наименование субъекта Российской Федерации</t>
        </is>
      </c>
      <c r="D13" s="377" t="inlineStr">
        <is>
          <t>Челябинская область</t>
        </is>
      </c>
    </row>
    <row r="14">
      <c r="B14" s="377" t="n">
        <v>3</v>
      </c>
      <c r="C14" s="351" t="inlineStr">
        <is>
          <t>Климатический район и подрайон</t>
        </is>
      </c>
      <c r="D14" s="377" t="inlineStr">
        <is>
          <t>IВ</t>
        </is>
      </c>
    </row>
    <row r="15">
      <c r="B15" s="377" t="n">
        <v>4</v>
      </c>
      <c r="C15" s="351" t="inlineStr">
        <is>
          <t>Мощность объекта</t>
        </is>
      </c>
      <c r="D15" s="377" t="n">
        <v>1</v>
      </c>
    </row>
    <row r="16" ht="63" customHeight="1" s="337">
      <c r="B16" s="37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6" t="inlineStr">
        <is>
          <t>Кабель медный 6кВ 1х1000 мм2</t>
        </is>
      </c>
    </row>
    <row r="17" ht="63" customHeight="1" s="337">
      <c r="B17" s="37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D18+D19+D20+D21</f>
        <v/>
      </c>
      <c r="E17" s="249" t="n"/>
    </row>
    <row r="18">
      <c r="B18" s="227" t="inlineStr">
        <is>
          <t>6.1</t>
        </is>
      </c>
      <c r="C18" s="351" t="inlineStr">
        <is>
          <t>строительно-монтажные работы</t>
        </is>
      </c>
      <c r="D18" s="334">
        <f>'Прил.2 Расч стоим'!F14+'Прил.2 Расч стоим'!G14</f>
        <v/>
      </c>
    </row>
    <row r="19">
      <c r="B19" s="227" t="inlineStr">
        <is>
          <t>6.2</t>
        </is>
      </c>
      <c r="C19" s="351" t="inlineStr">
        <is>
          <t>оборудование и инвентарь</t>
        </is>
      </c>
      <c r="D19" s="377" t="n">
        <v>0</v>
      </c>
    </row>
    <row r="20">
      <c r="B20" s="227" t="inlineStr">
        <is>
          <t>6.3</t>
        </is>
      </c>
      <c r="C20" s="351" t="inlineStr">
        <is>
          <t>пусконаладочные работы</t>
        </is>
      </c>
      <c r="D20" s="377" t="n">
        <v>0</v>
      </c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34">
        <f>D18*0.025+(D18*0.025+D18)*0.021</f>
        <v/>
      </c>
    </row>
    <row r="22">
      <c r="B22" s="377" t="n">
        <v>7</v>
      </c>
      <c r="C22" s="226" t="inlineStr">
        <is>
          <t>Сопоставимый уровень цен</t>
        </is>
      </c>
      <c r="D22" s="335" t="inlineStr">
        <is>
          <t>2 кв. 2018 г.</t>
        </is>
      </c>
      <c r="E22" s="224" t="n"/>
    </row>
    <row r="23" ht="78.75" customHeight="1" s="337">
      <c r="B23" s="37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49" t="n"/>
    </row>
    <row r="24" ht="31.5" customHeight="1" s="337">
      <c r="B24" s="37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D17/D15</f>
        <v/>
      </c>
      <c r="E24" s="224" t="n"/>
    </row>
    <row r="25">
      <c r="B25" s="377" t="n">
        <v>10</v>
      </c>
      <c r="C25" s="351" t="inlineStr">
        <is>
          <t>Примечание</t>
        </is>
      </c>
      <c r="D25" s="377" t="n"/>
    </row>
    <row r="26">
      <c r="B26" s="222" t="n"/>
      <c r="C26" s="221" t="n"/>
      <c r="D26" s="221" t="n"/>
    </row>
    <row r="27" ht="37.5" customHeight="1" s="337">
      <c r="B27" s="331" t="n"/>
    </row>
    <row r="28">
      <c r="B28" s="339" t="inlineStr">
        <is>
          <t>Составил ______________________    А.Р. Маркова</t>
        </is>
      </c>
    </row>
    <row r="29">
      <c r="B29" s="331" t="inlineStr">
        <is>
          <t xml:space="preserve">                         (подпись, инициалы, фамилия)</t>
        </is>
      </c>
    </row>
    <row r="31">
      <c r="B31" s="339" t="inlineStr">
        <is>
          <t>Проверил ______________________        А.В. Костянецкая</t>
        </is>
      </c>
    </row>
    <row r="32">
      <c r="B32" s="3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H19" sqref="H19"/>
    </sheetView>
  </sheetViews>
  <sheetFormatPr baseColWidth="8" defaultColWidth="9.140625" defaultRowHeight="15.75"/>
  <cols>
    <col width="5.5703125" customWidth="1" style="339" min="1" max="1"/>
    <col width="9.140625" customWidth="1" style="339" min="2" max="2"/>
    <col width="35.28515625" customWidth="1" style="339" min="3" max="3"/>
    <col width="13.85546875" customWidth="1" style="339" min="4" max="4"/>
    <col width="24.85546875" customWidth="1" style="339" min="5" max="5"/>
    <col width="15.5703125" customWidth="1" style="339" min="6" max="6"/>
    <col width="14.85546875" customWidth="1" style="339" min="7" max="7"/>
    <col width="16.7109375" customWidth="1" style="339" min="8" max="8"/>
    <col width="13" customWidth="1" style="339" min="9" max="10"/>
    <col width="18" customWidth="1" style="339" min="11" max="11"/>
    <col width="9.140625" customWidth="1" style="339" min="12" max="12"/>
  </cols>
  <sheetData>
    <row r="3">
      <c r="B3" s="369" t="inlineStr">
        <is>
          <t>Приложение № 2</t>
        </is>
      </c>
      <c r="K3" s="331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37">
      <c r="B6" s="371">
        <f>'Прил.1 Сравнит табл'!B7:D7</f>
        <v/>
      </c>
    </row>
    <row r="7">
      <c r="B7" s="371">
        <f>'Прил.1 Сравнит табл'!B9:D9</f>
        <v/>
      </c>
    </row>
    <row r="8" ht="18.75" customHeight="1" s="337">
      <c r="B8" s="251" t="n"/>
    </row>
    <row r="9" ht="15.75" customHeight="1" s="337">
      <c r="A9" s="339" t="n"/>
      <c r="B9" s="377" t="inlineStr">
        <is>
          <t>№ п/п</t>
        </is>
      </c>
      <c r="C9" s="3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7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  <c r="K9" s="339" t="n"/>
      <c r="L9" s="339" t="n"/>
    </row>
    <row r="10" ht="15.75" customHeight="1" s="337">
      <c r="A10" s="339" t="n"/>
      <c r="B10" s="460" t="n"/>
      <c r="C10" s="460" t="n"/>
      <c r="D10" s="377" t="inlineStr">
        <is>
          <t>Номер сметы</t>
        </is>
      </c>
      <c r="E10" s="377" t="inlineStr">
        <is>
          <t>Наименование сметы</t>
        </is>
      </c>
      <c r="F10" s="377" t="inlineStr">
        <is>
          <t>Сметная стоимость в уровне цен 2 кв. 2018 г., тыс. руб.</t>
        </is>
      </c>
      <c r="G10" s="458" t="n"/>
      <c r="H10" s="458" t="n"/>
      <c r="I10" s="458" t="n"/>
      <c r="J10" s="459" t="n"/>
      <c r="K10" s="339" t="n"/>
      <c r="L10" s="339" t="n"/>
    </row>
    <row r="11" ht="31.5" customHeight="1" s="337">
      <c r="A11" s="339" t="n"/>
      <c r="B11" s="461" t="n"/>
      <c r="C11" s="461" t="n"/>
      <c r="D11" s="461" t="n"/>
      <c r="E11" s="461" t="n"/>
      <c r="F11" s="377" t="inlineStr">
        <is>
          <t>Строительные работы</t>
        </is>
      </c>
      <c r="G11" s="377" t="inlineStr">
        <is>
          <t>Монтажные работы</t>
        </is>
      </c>
      <c r="H11" s="377" t="inlineStr">
        <is>
          <t>Оборудование</t>
        </is>
      </c>
      <c r="I11" s="377" t="inlineStr">
        <is>
          <t>Прочее</t>
        </is>
      </c>
      <c r="J11" s="377" t="inlineStr">
        <is>
          <t>Всего</t>
        </is>
      </c>
      <c r="K11" s="339" t="n"/>
      <c r="L11" s="339" t="n"/>
    </row>
    <row r="12" ht="220.5" customHeight="1" s="337">
      <c r="A12" s="339" t="n"/>
      <c r="B12" s="340" t="n">
        <v>1</v>
      </c>
      <c r="C12" s="356" t="inlineStr">
        <is>
          <t>Кабель медный 6кВ 1х1000 мм2</t>
        </is>
      </c>
      <c r="D12" s="322" t="inlineStr">
        <is>
          <t>02-01-05</t>
        </is>
      </c>
      <c r="E12" s="35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4" t="n"/>
      <c r="G12" s="334" t="n">
        <v>40102.5755802</v>
      </c>
      <c r="H12" s="324" t="n"/>
      <c r="I12" s="324" t="n"/>
      <c r="J12" s="326">
        <f>SUM(F12:I12)</f>
        <v/>
      </c>
      <c r="K12" s="339" t="n"/>
      <c r="L12" s="339" t="n"/>
    </row>
    <row r="13" ht="15" customHeight="1" s="337">
      <c r="A13" s="339" t="n"/>
      <c r="B13" s="373" t="inlineStr">
        <is>
          <t>Всего по объекту:</t>
        </is>
      </c>
      <c r="C13" s="458" t="n"/>
      <c r="D13" s="458" t="n"/>
      <c r="E13" s="459" t="n"/>
      <c r="F13" s="328">
        <f>SUM(F12:F12)</f>
        <v/>
      </c>
      <c r="G13" s="328">
        <f>SUM(G12:G12)</f>
        <v/>
      </c>
      <c r="H13" s="328">
        <f>SUM(H12:H12)</f>
        <v/>
      </c>
      <c r="I13" s="328" t="n"/>
      <c r="J13" s="328">
        <f>SUM(F13:I13)</f>
        <v/>
      </c>
      <c r="K13" s="329" t="n"/>
      <c r="L13" s="339" t="n"/>
    </row>
    <row r="14" ht="15.75" customHeight="1" s="337">
      <c r="A14" s="339" t="n"/>
      <c r="B14" s="373" t="inlineStr">
        <is>
          <t>Всего по объекту в сопоставимом уровне цен 2 кв. 2018 г:</t>
        </is>
      </c>
      <c r="C14" s="458" t="n"/>
      <c r="D14" s="458" t="n"/>
      <c r="E14" s="459" t="n"/>
      <c r="F14" s="328">
        <f>F13</f>
        <v/>
      </c>
      <c r="G14" s="328">
        <f>G13</f>
        <v/>
      </c>
      <c r="H14" s="328">
        <f>H13</f>
        <v/>
      </c>
      <c r="I14" s="328">
        <f>'Прил.1 Сравнит табл'!D21</f>
        <v/>
      </c>
      <c r="J14" s="328">
        <f>SUM(F14:I14)</f>
        <v/>
      </c>
      <c r="K14" s="339" t="n"/>
      <c r="L14" s="339" t="n"/>
    </row>
    <row r="15" ht="15" customHeight="1" s="337"/>
    <row r="16" ht="15" customHeight="1" s="337"/>
    <row r="17" ht="15" customHeight="1" s="337"/>
    <row r="18" ht="15" customHeight="1" s="337">
      <c r="C18" s="316" t="inlineStr">
        <is>
          <t>Составил ______________________     А.Р. Маркова</t>
        </is>
      </c>
      <c r="D18" s="317" t="n"/>
      <c r="E18" s="317" t="n"/>
    </row>
    <row r="19" ht="15" customHeight="1" s="337">
      <c r="C19" s="319" t="inlineStr">
        <is>
          <t xml:space="preserve">                         (подпись, инициалы, фамилия)</t>
        </is>
      </c>
      <c r="D19" s="317" t="n"/>
      <c r="E19" s="317" t="n"/>
    </row>
    <row r="20" ht="15" customHeight="1" s="337">
      <c r="C20" s="316" t="n"/>
      <c r="D20" s="317" t="n"/>
      <c r="E20" s="317" t="n"/>
    </row>
    <row r="21" ht="15" customHeight="1" s="337">
      <c r="C21" s="316" t="inlineStr">
        <is>
          <t>Проверил ______________________        А.В. Костянецкая</t>
        </is>
      </c>
      <c r="D21" s="317" t="n"/>
      <c r="E21" s="317" t="n"/>
    </row>
    <row r="22" ht="15" customHeight="1" s="337">
      <c r="C22" s="319" t="inlineStr">
        <is>
          <t xml:space="preserve">                        (подпись, инициалы, фамилия)</t>
        </is>
      </c>
      <c r="D22" s="317" t="n"/>
      <c r="E22" s="317" t="n"/>
    </row>
    <row r="23" ht="15" customHeight="1" s="337"/>
    <row r="24" ht="15" customHeight="1" s="337"/>
    <row r="25" ht="15" customHeight="1" s="337"/>
    <row r="26" ht="15" customHeight="1" s="337"/>
    <row r="27" ht="15" customHeight="1" s="337"/>
    <row r="28" ht="15" customHeight="1" s="33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6"/>
  <sheetViews>
    <sheetView view="pageBreakPreview" zoomScale="85" zoomScaleSheetLayoutView="85" workbookViewId="0">
      <selection activeCell="D30" sqref="D30"/>
    </sheetView>
  </sheetViews>
  <sheetFormatPr baseColWidth="8" defaultColWidth="9.140625" defaultRowHeight="15.75"/>
  <cols>
    <col width="9.140625" customWidth="1" style="339" min="1" max="1"/>
    <col width="12.5703125" customWidth="1" style="339" min="2" max="2"/>
    <col width="22.42578125" customWidth="1" style="339" min="3" max="3"/>
    <col width="49.7109375" customWidth="1" style="339" min="4" max="4"/>
    <col width="10.140625" customWidth="1" style="339" min="5" max="5"/>
    <col width="20.7109375" customWidth="1" style="339" min="6" max="6"/>
    <col width="20" customWidth="1" style="339" min="7" max="7"/>
    <col width="16.7109375" customWidth="1" style="339" min="8" max="8"/>
    <col width="9.140625" customWidth="1" style="339" min="9" max="10"/>
    <col width="15" customWidth="1" style="339" min="11" max="11"/>
    <col width="9.140625" customWidth="1" style="339" min="12" max="12"/>
  </cols>
  <sheetData>
    <row r="2" s="337">
      <c r="A2" s="339" t="n"/>
      <c r="B2" s="339" t="n"/>
      <c r="C2" s="339" t="n"/>
      <c r="D2" s="339" t="n"/>
      <c r="E2" s="339" t="n"/>
      <c r="F2" s="339" t="n"/>
      <c r="G2" s="339" t="n"/>
      <c r="H2" s="339" t="n"/>
      <c r="I2" s="339" t="n"/>
      <c r="J2" s="339" t="n"/>
      <c r="K2" s="339" t="n"/>
      <c r="L2" s="339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37">
      <c r="A5" s="263" t="n"/>
      <c r="B5" s="263" t="n"/>
      <c r="C5" s="38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1" t="n"/>
    </row>
    <row r="7">
      <c r="A7" s="381" t="inlineStr">
        <is>
          <t>Наименование разрабатываемого показателя УНЦ -  КЛ 6 кВ (с медной жилой) сечение жилы 1000 мм2.</t>
        </is>
      </c>
    </row>
    <row r="8">
      <c r="A8" s="381" t="n"/>
      <c r="B8" s="381" t="n"/>
      <c r="C8" s="381" t="n"/>
      <c r="D8" s="381" t="n"/>
      <c r="E8" s="381" t="n"/>
      <c r="F8" s="381" t="n"/>
      <c r="G8" s="381" t="n"/>
      <c r="H8" s="381" t="n"/>
    </row>
    <row r="9" ht="38.25" customHeight="1" s="337">
      <c r="A9" s="377" t="inlineStr">
        <is>
          <t>п/п</t>
        </is>
      </c>
      <c r="B9" s="377" t="inlineStr">
        <is>
          <t>№ЛСР</t>
        </is>
      </c>
      <c r="C9" s="377" t="inlineStr">
        <is>
          <t>Код ресурса</t>
        </is>
      </c>
      <c r="D9" s="377" t="inlineStr">
        <is>
          <t>Наименование ресурса</t>
        </is>
      </c>
      <c r="E9" s="377" t="inlineStr">
        <is>
          <t>Ед. изм.</t>
        </is>
      </c>
      <c r="F9" s="377" t="inlineStr">
        <is>
          <t>Кол-во единиц по данным объекта-представителя</t>
        </is>
      </c>
      <c r="G9" s="377" t="inlineStr">
        <is>
          <t>Сметная стоимость в ценах на 01.01.2000 (руб.)</t>
        </is>
      </c>
      <c r="H9" s="459" t="n"/>
    </row>
    <row r="10" ht="40.5" customHeight="1" s="337">
      <c r="A10" s="461" t="n"/>
      <c r="B10" s="461" t="n"/>
      <c r="C10" s="461" t="n"/>
      <c r="D10" s="461" t="n"/>
      <c r="E10" s="461" t="n"/>
      <c r="F10" s="461" t="n"/>
      <c r="G10" s="377" t="inlineStr">
        <is>
          <t>на ед.изм.</t>
        </is>
      </c>
      <c r="H10" s="377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310">
      <c r="A12" s="384" t="inlineStr">
        <is>
          <t>Затраты труда рабочих</t>
        </is>
      </c>
      <c r="B12" s="458" t="n"/>
      <c r="C12" s="458" t="n"/>
      <c r="D12" s="458" t="n"/>
      <c r="E12" s="459" t="n"/>
      <c r="F12" s="462">
        <f>SUM(F13:F13)</f>
        <v/>
      </c>
      <c r="G12" s="259" t="n"/>
      <c r="H12" s="462">
        <f>SUM(H13:H13)</f>
        <v/>
      </c>
    </row>
    <row r="13">
      <c r="A13" s="412" t="n">
        <v>1</v>
      </c>
      <c r="B13" s="234" t="n"/>
      <c r="C13" s="292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412" t="inlineStr">
        <is>
          <t>чел.-ч</t>
        </is>
      </c>
      <c r="F13" s="395" t="n">
        <v>236</v>
      </c>
      <c r="G13" s="463" t="n">
        <v>9.4</v>
      </c>
      <c r="H13" s="252">
        <f>ROUND(F13*G13,2)</f>
        <v/>
      </c>
    </row>
    <row r="14">
      <c r="A14" s="383" t="inlineStr">
        <is>
          <t>Затраты труда машинистов</t>
        </is>
      </c>
      <c r="B14" s="458" t="n"/>
      <c r="C14" s="458" t="n"/>
      <c r="D14" s="458" t="n"/>
      <c r="E14" s="459" t="n"/>
      <c r="F14" s="282" t="n"/>
      <c r="G14" s="233" t="n"/>
      <c r="H14" s="462">
        <f>H15</f>
        <v/>
      </c>
    </row>
    <row r="15">
      <c r="A15" s="412" t="n">
        <v>2</v>
      </c>
      <c r="B15" s="385" t="n"/>
      <c r="C15" s="267" t="n">
        <v>2</v>
      </c>
      <c r="D15" s="268" t="inlineStr">
        <is>
          <t>Затраты труда машинистов(справочно)</t>
        </is>
      </c>
      <c r="E15" s="412" t="inlineStr">
        <is>
          <t>чел.-ч</t>
        </is>
      </c>
      <c r="F15" s="284" t="n">
        <v>79.40000000000001</v>
      </c>
      <c r="G15" s="252" t="n"/>
      <c r="H15" s="463" t="n">
        <v>1071.9</v>
      </c>
    </row>
    <row r="16" customFormat="1" s="310">
      <c r="A16" s="384" t="inlineStr">
        <is>
          <t>Машины и механизмы</t>
        </is>
      </c>
      <c r="B16" s="458" t="n"/>
      <c r="C16" s="458" t="n"/>
      <c r="D16" s="458" t="n"/>
      <c r="E16" s="459" t="n"/>
      <c r="F16" s="282" t="n"/>
      <c r="G16" s="233" t="n"/>
      <c r="H16" s="462">
        <f>SUM(H17:H20)</f>
        <v/>
      </c>
    </row>
    <row r="17" ht="25.5" customHeight="1" s="337">
      <c r="A17" s="412" t="n">
        <v>3</v>
      </c>
      <c r="B17" s="385" t="n"/>
      <c r="C17" s="267" t="inlineStr">
        <is>
          <t>91.05.05-015</t>
        </is>
      </c>
      <c r="D17" s="268" t="inlineStr">
        <is>
          <t>Краны на автомобильном ходу, грузоподъемность 16 т</t>
        </is>
      </c>
      <c r="E17" s="412" t="inlineStr">
        <is>
          <t>маш.час</t>
        </is>
      </c>
      <c r="F17" s="284" t="n">
        <v>39.7</v>
      </c>
      <c r="G17" s="270" t="n">
        <v>115.4</v>
      </c>
      <c r="H17" s="252">
        <f>ROUND(F17*G17,2)</f>
        <v/>
      </c>
      <c r="I17" s="261" t="n"/>
    </row>
    <row r="18">
      <c r="A18" s="412" t="n">
        <v>4</v>
      </c>
      <c r="B18" s="385" t="n"/>
      <c r="C18" s="267" t="inlineStr">
        <is>
          <t>91.14.02-003</t>
        </is>
      </c>
      <c r="D18" s="268" t="inlineStr">
        <is>
          <t>Автомобили бортовые, грузоподъемность до 10 т</t>
        </is>
      </c>
      <c r="E18" s="412" t="inlineStr">
        <is>
          <t>маш.час</t>
        </is>
      </c>
      <c r="F18" s="284" t="n">
        <v>39.7</v>
      </c>
      <c r="G18" s="270" t="n">
        <v>80.44</v>
      </c>
      <c r="H18" s="252">
        <f>ROUND(F18*G18,2)</f>
        <v/>
      </c>
      <c r="I18" s="261" t="n"/>
    </row>
    <row r="19" ht="25.5" customHeight="1" s="337">
      <c r="A19" s="412" t="n">
        <v>5</v>
      </c>
      <c r="B19" s="385" t="n"/>
      <c r="C19" s="267" t="inlineStr">
        <is>
          <t>91.06.03-063</t>
        </is>
      </c>
      <c r="D19" s="268" t="inlineStr">
        <is>
          <t>Лебедки электрические тяговым усилием до 49,05 кН (5 т)</t>
        </is>
      </c>
      <c r="E19" s="412" t="inlineStr">
        <is>
          <t>маш.час</t>
        </is>
      </c>
      <c r="F19" s="284" t="n">
        <v>49.8</v>
      </c>
      <c r="G19" s="270" t="n">
        <v>8.199999999999999</v>
      </c>
      <c r="H19" s="252">
        <f>ROUND(F19*G19,2)</f>
        <v/>
      </c>
      <c r="I19" s="261" t="n"/>
    </row>
    <row r="20">
      <c r="A20" s="412" t="n">
        <v>6</v>
      </c>
      <c r="B20" s="385" t="n"/>
      <c r="C20" s="267" t="inlineStr">
        <is>
          <t>91.06.01-003</t>
        </is>
      </c>
      <c r="D20" s="268" t="inlineStr">
        <is>
          <t>Домкраты гидравлические, грузоподъемность 63-100 т</t>
        </is>
      </c>
      <c r="E20" s="412" t="inlineStr">
        <is>
          <t>маш.час</t>
        </is>
      </c>
      <c r="F20" s="284" t="n">
        <v>49.8</v>
      </c>
      <c r="G20" s="270" t="n">
        <v>0.9</v>
      </c>
      <c r="H20" s="252">
        <f>ROUND(F20*G20,2)</f>
        <v/>
      </c>
      <c r="I20" s="261" t="n"/>
    </row>
    <row r="21">
      <c r="A21" s="384" t="inlineStr">
        <is>
          <t>Материалы</t>
        </is>
      </c>
      <c r="B21" s="458" t="n"/>
      <c r="C21" s="458" t="n"/>
      <c r="D21" s="458" t="n"/>
      <c r="E21" s="459" t="n"/>
      <c r="F21" s="282" t="n"/>
      <c r="G21" s="233" t="n"/>
      <c r="H21" s="462">
        <f>SUM(H22:H27)</f>
        <v/>
      </c>
    </row>
    <row r="22">
      <c r="A22" s="301" t="n">
        <v>7</v>
      </c>
      <c r="B22" s="300" t="n"/>
      <c r="C22" s="412" t="inlineStr">
        <is>
          <t>Прайс из СД ОП</t>
        </is>
      </c>
      <c r="D22" s="299" t="inlineStr">
        <is>
          <t>Кабель медный 6кВ 1х1000 мм2</t>
        </is>
      </c>
      <c r="E22" s="412" t="inlineStr">
        <is>
          <t>км</t>
        </is>
      </c>
      <c r="F22" s="412" t="n">
        <v>3.3</v>
      </c>
      <c r="G22" s="299" t="n">
        <v>1990594.68</v>
      </c>
      <c r="H22" s="252" t="n">
        <v>6568962.44</v>
      </c>
    </row>
    <row r="23" ht="25.5" customHeight="1" s="337">
      <c r="A23" s="256" t="n">
        <v>8</v>
      </c>
      <c r="B23" s="300" t="n"/>
      <c r="C23" s="267" t="inlineStr">
        <is>
          <t>08.3.08.02-0052</t>
        </is>
      </c>
      <c r="D23" s="268" t="inlineStr">
        <is>
          <t>Уголок горячекатаный, марка стали ВСт3кп2, размер 50х50х5 мм</t>
        </is>
      </c>
      <c r="E23" s="412" t="inlineStr">
        <is>
          <t>т</t>
        </is>
      </c>
      <c r="F23" s="284" t="n">
        <v>0.1</v>
      </c>
      <c r="G23" s="252" t="n">
        <v>5763</v>
      </c>
      <c r="H23" s="252" t="n">
        <v>576.3</v>
      </c>
      <c r="I23" s="257" t="n"/>
    </row>
    <row r="24">
      <c r="A24" s="301" t="n">
        <v>9</v>
      </c>
      <c r="B24" s="300" t="n"/>
      <c r="C24" s="267" t="inlineStr">
        <is>
          <t>14.4.02.09-0001</t>
        </is>
      </c>
      <c r="D24" s="268" t="inlineStr">
        <is>
          <t>Краска</t>
        </is>
      </c>
      <c r="E24" s="412" t="inlineStr">
        <is>
          <t>кг</t>
        </is>
      </c>
      <c r="F24" s="284" t="n">
        <v>2.5</v>
      </c>
      <c r="G24" s="252" t="n">
        <v>28.6</v>
      </c>
      <c r="H24" s="252" t="n">
        <v>71.5</v>
      </c>
      <c r="I24" s="257" t="n"/>
    </row>
    <row r="25" ht="25.5" customHeight="1" s="337">
      <c r="A25" s="256" t="n">
        <v>10</v>
      </c>
      <c r="B25" s="300" t="n"/>
      <c r="C25" s="267" t="inlineStr">
        <is>
          <t>08.3.07.01-0076</t>
        </is>
      </c>
      <c r="D25" s="268" t="inlineStr">
        <is>
          <t>Прокат полосовой, горячекатаный, марка стали Ст3сп, ширина 50-200 мм, толщина 4-5 мм</t>
        </is>
      </c>
      <c r="E25" s="412" t="inlineStr">
        <is>
          <t>т</t>
        </is>
      </c>
      <c r="F25" s="284" t="n">
        <v>0.01</v>
      </c>
      <c r="G25" s="252" t="n">
        <v>5000</v>
      </c>
      <c r="H25" s="252" t="n">
        <v>50</v>
      </c>
      <c r="I25" s="257" t="n"/>
    </row>
    <row r="26">
      <c r="A26" s="256" t="n">
        <v>11</v>
      </c>
      <c r="B26" s="300" t="n"/>
      <c r="C26" s="267" t="inlineStr">
        <is>
          <t>01.7.06.07-0002</t>
        </is>
      </c>
      <c r="D26" s="268" t="inlineStr">
        <is>
          <t>Лента монтажная, тип ЛМ-5</t>
        </is>
      </c>
      <c r="E26" s="412" t="inlineStr">
        <is>
          <t>10 м</t>
        </is>
      </c>
      <c r="F26" s="284" t="n">
        <v>0.96</v>
      </c>
      <c r="G26" s="252" t="n">
        <v>6.9</v>
      </c>
      <c r="H26" s="252" t="n">
        <v>6.62</v>
      </c>
      <c r="I26" s="257" t="n"/>
    </row>
    <row r="27">
      <c r="A27" s="301" t="n">
        <v>12</v>
      </c>
      <c r="B27" s="300" t="n"/>
      <c r="C27" s="267" t="inlineStr">
        <is>
          <t>14.4.03.03-0002</t>
        </is>
      </c>
      <c r="D27" s="268" t="inlineStr">
        <is>
          <t>Лак битумный БТ-123</t>
        </is>
      </c>
      <c r="E27" s="412" t="inlineStr">
        <is>
          <t>т</t>
        </is>
      </c>
      <c r="F27" s="284" t="n">
        <v>0.0005999999999999999</v>
      </c>
      <c r="G27" s="252" t="n">
        <v>7826.9</v>
      </c>
      <c r="H27" s="252" t="n">
        <v>4.7</v>
      </c>
      <c r="I27" s="257" t="n"/>
    </row>
    <row r="30">
      <c r="B30" s="339" t="inlineStr">
        <is>
          <t>Составил ______________________     А.Р. Маркова</t>
        </is>
      </c>
    </row>
    <row r="31">
      <c r="B31" s="331" t="inlineStr">
        <is>
          <t xml:space="preserve">                         (подпись, инициалы, фамилия)</t>
        </is>
      </c>
    </row>
    <row r="33">
      <c r="B33" s="339" t="inlineStr">
        <is>
          <t>Проверил ______________________        А.В. Костянецкая</t>
        </is>
      </c>
    </row>
    <row r="34">
      <c r="B34" s="331" t="inlineStr">
        <is>
          <t xml:space="preserve">                        (подпись, инициалы, фамилия)</t>
        </is>
      </c>
    </row>
    <row r="36">
      <c r="H36" s="464" t="n"/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37" min="1" max="1"/>
    <col width="36.28515625" customWidth="1" style="337" min="2" max="2"/>
    <col width="18.85546875" customWidth="1" style="337" min="3" max="3"/>
    <col width="18.28515625" customWidth="1" style="337" min="4" max="4"/>
    <col width="18.85546875" customWidth="1" style="337" min="5" max="5"/>
    <col width="11.42578125" customWidth="1" style="337" min="6" max="6"/>
    <col width="14.42578125" customWidth="1" style="337" min="7" max="7"/>
    <col width="9.140625" customWidth="1" style="337" min="8" max="11"/>
    <col width="13.5703125" customWidth="1" style="337" min="12" max="12"/>
    <col width="9.140625" customWidth="1" style="337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407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9" t="inlineStr">
        <is>
          <t>Ресурсная модель</t>
        </is>
      </c>
    </row>
    <row r="6">
      <c r="B6" s="246" t="n"/>
      <c r="C6" s="316" t="n"/>
      <c r="D6" s="316" t="n"/>
      <c r="E6" s="316" t="n"/>
    </row>
    <row r="7" ht="25.5" customHeight="1" s="337">
      <c r="B7" s="368" t="inlineStr">
        <is>
          <t>Наименование разрабатываемого показателя УНЦ — КЛ 6 кВ (с медной жилой) сечение жилы 1000 мм2</t>
        </is>
      </c>
    </row>
    <row r="8">
      <c r="B8" s="387" t="inlineStr">
        <is>
          <t>Единица измерения  — 1 км</t>
        </is>
      </c>
    </row>
    <row r="9">
      <c r="B9" s="246" t="n"/>
      <c r="C9" s="316" t="n"/>
      <c r="D9" s="316" t="n"/>
      <c r="E9" s="316" t="n"/>
    </row>
    <row r="10" ht="51" customHeight="1" s="337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ОБ'!J21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ОБ'!J24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ОБ'!J35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ОБ'!J41</f>
        <v/>
      </c>
      <c r="D17" s="240">
        <f>C17/$C$24</f>
        <v/>
      </c>
      <c r="E17" s="240">
        <f>C17/$C$40</f>
        <v/>
      </c>
      <c r="G17" s="465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ОБ'!D45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ОБ'!D44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337">
      <c r="B25" s="238" t="inlineStr">
        <is>
          <t>ВСЕГО стоимость оборудования, в том числе</t>
        </is>
      </c>
      <c r="C25" s="239">
        <f>'Прил.5 Расчет СМР и ОБ'!J30</f>
        <v/>
      </c>
      <c r="D25" s="240" t="n"/>
      <c r="E25" s="240">
        <f>C25/$C$40</f>
        <v/>
      </c>
    </row>
    <row r="26" ht="25.5" customHeight="1" s="337">
      <c r="B26" s="238" t="inlineStr">
        <is>
          <t>стоимость оборудования технологического</t>
        </is>
      </c>
      <c r="C26" s="239">
        <f>'Прил.5 Расчет СМР и ОБ'!J31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</row>
    <row r="28" ht="33" customHeight="1" s="337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  <c r="F28" s="241" t="n"/>
    </row>
    <row r="29" ht="25.5" customHeight="1" s="337">
      <c r="B29" s="238" t="inlineStr">
        <is>
          <t>Временные здания и сооружения - 2,5%</t>
        </is>
      </c>
      <c r="C29" s="242">
        <f>ROUND(C24*2.5%,2)</f>
        <v/>
      </c>
      <c r="D29" s="238" t="n"/>
      <c r="E29" s="240">
        <f>C29/$C$40</f>
        <v/>
      </c>
    </row>
    <row r="30" ht="38.25" customHeight="1" s="337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>
        <f>C30/$C$40</f>
        <v/>
      </c>
      <c r="F30" s="241" t="n"/>
    </row>
    <row r="31">
      <c r="B31" s="238" t="inlineStr">
        <is>
          <t>Пусконаладочные работы</t>
        </is>
      </c>
      <c r="C31" s="272" t="n">
        <v>0</v>
      </c>
      <c r="D31" s="238" t="n"/>
      <c r="E31" s="240">
        <f>C31/$C$40</f>
        <v/>
      </c>
    </row>
    <row r="32" ht="25.5" customHeight="1" s="337">
      <c r="B32" s="238" t="inlineStr">
        <is>
          <t>Затраты по перевозке работников к месту работы и обратно</t>
        </is>
      </c>
      <c r="C32" s="242">
        <f>ROUND(C27*0%,2)</f>
        <v/>
      </c>
      <c r="D32" s="238" t="n"/>
      <c r="E32" s="240">
        <f>C32/$C$40</f>
        <v/>
      </c>
    </row>
    <row r="33" ht="25.5" customHeight="1" s="337">
      <c r="B33" s="238" t="inlineStr">
        <is>
          <t>Затраты, связанные с осуществлением работ вахтовым методом</t>
        </is>
      </c>
      <c r="C33" s="242">
        <f>ROUND(C28*0%,2)</f>
        <v/>
      </c>
      <c r="D33" s="238" t="n"/>
      <c r="E33" s="240">
        <f>C33/$C$40</f>
        <v/>
      </c>
    </row>
    <row r="34" ht="51" customHeight="1" s="337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>
        <f>ROUND(C29*0%,2)</f>
        <v/>
      </c>
      <c r="D34" s="238" t="n"/>
      <c r="E34" s="240">
        <f>C34/$C$40</f>
        <v/>
      </c>
      <c r="H34" s="257" t="n"/>
    </row>
    <row r="35" ht="76.5" customHeight="1" s="337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ROUND(C30*0%,2)</f>
        <v/>
      </c>
      <c r="D35" s="238" t="n"/>
      <c r="E35" s="240">
        <f>C35/$C$40</f>
        <v/>
      </c>
    </row>
    <row r="36" ht="25.5" customHeight="1" s="337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L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L37" s="241" t="n"/>
    </row>
    <row r="38" ht="38.25" customHeight="1" s="337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337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ОБ'!E48</f>
        <v/>
      </c>
      <c r="D41" s="238" t="n"/>
      <c r="E41" s="238" t="n"/>
    </row>
    <row r="42">
      <c r="B42" s="237" t="n"/>
      <c r="C42" s="316" t="n"/>
      <c r="D42" s="316" t="n"/>
      <c r="E42" s="316" t="n"/>
    </row>
    <row r="43">
      <c r="B43" s="237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37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37" t="n"/>
      <c r="C45" s="316" t="n"/>
      <c r="D45" s="316" t="n"/>
      <c r="E45" s="316" t="n"/>
    </row>
    <row r="46">
      <c r="B46" s="237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87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U21" sqref="U21"/>
    </sheetView>
  </sheetViews>
  <sheetFormatPr baseColWidth="8" defaultColWidth="9.140625" defaultRowHeight="15" outlineLevelRow="1"/>
  <cols>
    <col width="5.7109375" customWidth="1" style="317" min="1" max="1"/>
    <col width="22.5703125" customWidth="1" style="317" min="2" max="2"/>
    <col width="39.140625" customWidth="1" style="317" min="3" max="3"/>
    <col width="10.7109375" customWidth="1" style="317" min="4" max="4"/>
    <col width="12.7109375" customWidth="1" style="317" min="5" max="5"/>
    <col width="15" customWidth="1" style="317" min="6" max="6"/>
    <col width="13.42578125" customWidth="1" style="317" min="7" max="7"/>
    <col width="12.7109375" customWidth="1" style="317" min="8" max="8"/>
    <col width="13.85546875" customWidth="1" style="317" min="9" max="9"/>
    <col width="17.5703125" customWidth="1" style="317" min="10" max="10"/>
    <col width="10.85546875" customWidth="1" style="317" min="11" max="11"/>
    <col width="9.140625" customWidth="1" style="317" min="12" max="12"/>
    <col width="9.140625" customWidth="1" style="337" min="13" max="13"/>
  </cols>
  <sheetData>
    <row r="1" s="337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7">
      <c r="A2" s="317" t="n"/>
      <c r="B2" s="317" t="n"/>
      <c r="C2" s="317" t="n"/>
      <c r="D2" s="317" t="n"/>
      <c r="E2" s="317" t="n"/>
      <c r="F2" s="317" t="n"/>
      <c r="G2" s="317" t="n"/>
      <c r="H2" s="402" t="inlineStr">
        <is>
          <t>Приложение №5</t>
        </is>
      </c>
      <c r="K2" s="317" t="n"/>
      <c r="L2" s="317" t="n"/>
      <c r="M2" s="317" t="n"/>
      <c r="N2" s="317" t="n"/>
    </row>
    <row r="3" s="337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9" t="inlineStr">
        <is>
          <t>Расчет стоимости СМР и оборудования</t>
        </is>
      </c>
    </row>
    <row r="5" ht="12.75" customFormat="1" customHeight="1" s="316">
      <c r="A5" s="359" t="n"/>
      <c r="B5" s="359" t="n"/>
      <c r="C5" s="415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16">
      <c r="A6" s="212" t="inlineStr">
        <is>
          <t>Наименование разрабатываемого показателя УНЦ</t>
        </is>
      </c>
      <c r="B6" s="211" t="n"/>
      <c r="C6" s="211" t="n"/>
      <c r="D6" s="406" t="inlineStr">
        <is>
          <t>КЛ 6 кВ (с медной жилой) сечение жилы 1000 мм2</t>
        </is>
      </c>
    </row>
    <row r="7" ht="12.75" customFormat="1" customHeight="1" s="316">
      <c r="A7" s="362" t="inlineStr">
        <is>
          <t>Единица измерения  — 1 км</t>
        </is>
      </c>
      <c r="I7" s="368" t="n"/>
      <c r="J7" s="368" t="n"/>
    </row>
    <row r="8" ht="13.5" customFormat="1" customHeight="1" s="316">
      <c r="A8" s="362" t="n"/>
    </row>
    <row r="9" ht="27" customHeight="1" s="337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59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59" t="n"/>
      <c r="K9" s="317" t="n"/>
      <c r="L9" s="317" t="n"/>
      <c r="M9" s="317" t="n"/>
      <c r="N9" s="317" t="n"/>
    </row>
    <row r="10" ht="28.5" customHeight="1" s="337">
      <c r="A10" s="461" t="n"/>
      <c r="B10" s="461" t="n"/>
      <c r="C10" s="461" t="n"/>
      <c r="D10" s="461" t="n"/>
      <c r="E10" s="461" t="n"/>
      <c r="F10" s="394" t="inlineStr">
        <is>
          <t>на ед. изм.</t>
        </is>
      </c>
      <c r="G10" s="394" t="inlineStr">
        <is>
          <t>общая</t>
        </is>
      </c>
      <c r="H10" s="461" t="n"/>
      <c r="I10" s="394" t="inlineStr">
        <is>
          <t>на ед. изм.</t>
        </is>
      </c>
      <c r="J10" s="394" t="inlineStr">
        <is>
          <t>общая</t>
        </is>
      </c>
      <c r="K10" s="317" t="n"/>
      <c r="L10" s="317" t="n"/>
      <c r="M10" s="317" t="n"/>
      <c r="N10" s="317" t="n"/>
    </row>
    <row r="11" s="337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17" t="n"/>
      <c r="L11" s="317" t="n"/>
      <c r="M11" s="317" t="n"/>
      <c r="N11" s="317" t="n"/>
    </row>
    <row r="12">
      <c r="A12" s="394" t="n"/>
      <c r="B12" s="383" t="inlineStr">
        <is>
          <t>Затраты труда рабочих-строителей</t>
        </is>
      </c>
      <c r="C12" s="458" t="n"/>
      <c r="D12" s="458" t="n"/>
      <c r="E12" s="458" t="n"/>
      <c r="F12" s="458" t="n"/>
      <c r="G12" s="458" t="n"/>
      <c r="H12" s="459" t="n"/>
      <c r="I12" s="200" t="n"/>
      <c r="J12" s="200" t="n"/>
    </row>
    <row r="13" ht="25.5" customHeight="1" s="337">
      <c r="A13" s="394" t="n">
        <v>1</v>
      </c>
      <c r="B13" s="292" t="inlineStr">
        <is>
          <t>1-3-8</t>
        </is>
      </c>
      <c r="C13" s="393" t="inlineStr">
        <is>
          <t>Затраты труда рабочих-строителей среднего разряда (3,8)</t>
        </is>
      </c>
      <c r="D13" s="394" t="inlineStr">
        <is>
          <t>чел.-ч.</t>
        </is>
      </c>
      <c r="E13" s="466">
        <f>G13/F13</f>
        <v/>
      </c>
      <c r="F13" s="296" t="n">
        <v>9.4</v>
      </c>
      <c r="G13" s="296">
        <f>Прил.3!H12</f>
        <v/>
      </c>
      <c r="H13" s="208">
        <f>G13/G14</f>
        <v/>
      </c>
      <c r="I13" s="296">
        <f>ФОТр.тек.!E13</f>
        <v/>
      </c>
      <c r="J13" s="296">
        <f>ROUND(I13*E13,2)</f>
        <v/>
      </c>
    </row>
    <row r="14" ht="25.5" customFormat="1" customHeight="1" s="317">
      <c r="A14" s="394" t="n"/>
      <c r="B14" s="394" t="n"/>
      <c r="C14" s="383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67">
        <f>SUM(E13:E13)</f>
        <v/>
      </c>
      <c r="F14" s="296" t="n"/>
      <c r="G14" s="296">
        <f>SUM(G13:G13)</f>
        <v/>
      </c>
      <c r="H14" s="397" t="n">
        <v>1</v>
      </c>
      <c r="I14" s="200" t="n"/>
      <c r="J14" s="296">
        <f>SUM(J13:J13)</f>
        <v/>
      </c>
    </row>
    <row r="15" ht="14.25" customFormat="1" customHeight="1" s="317">
      <c r="A15" s="394" t="n"/>
      <c r="B15" s="393" t="inlineStr">
        <is>
          <t>Затраты труда машинистов</t>
        </is>
      </c>
      <c r="C15" s="458" t="n"/>
      <c r="D15" s="458" t="n"/>
      <c r="E15" s="458" t="n"/>
      <c r="F15" s="458" t="n"/>
      <c r="G15" s="458" t="n"/>
      <c r="H15" s="459" t="n"/>
      <c r="I15" s="200" t="n"/>
      <c r="J15" s="200" t="n"/>
    </row>
    <row r="16" ht="14.25" customFormat="1" customHeight="1" s="317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468" t="n">
        <v>79.40000000000001</v>
      </c>
      <c r="F16" s="296">
        <f>G16/E16</f>
        <v/>
      </c>
      <c r="G16" s="296">
        <f>Прил.3!H14</f>
        <v/>
      </c>
      <c r="H16" s="397" t="n">
        <v>1</v>
      </c>
      <c r="I16" s="296">
        <f>ROUND(F16*Прил.10!D11,2)</f>
        <v/>
      </c>
      <c r="J16" s="296">
        <f>ROUND(I16*E16,2)</f>
        <v/>
      </c>
    </row>
    <row r="17" ht="14.25" customFormat="1" customHeight="1" s="317">
      <c r="A17" s="394" t="n"/>
      <c r="B17" s="383" t="inlineStr">
        <is>
          <t>Машины и механизмы</t>
        </is>
      </c>
      <c r="C17" s="458" t="n"/>
      <c r="D17" s="458" t="n"/>
      <c r="E17" s="458" t="n"/>
      <c r="F17" s="458" t="n"/>
      <c r="G17" s="458" t="n"/>
      <c r="H17" s="459" t="n"/>
      <c r="I17" s="200" t="n"/>
      <c r="J17" s="200" t="n"/>
    </row>
    <row r="18" ht="14.25" customFormat="1" customHeight="1" s="317">
      <c r="A18" s="394" t="n"/>
      <c r="B18" s="393" t="inlineStr">
        <is>
          <t>Основные 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200" t="n"/>
      <c r="J18" s="200" t="n"/>
    </row>
    <row r="19" ht="25.5" customFormat="1" customHeight="1" s="317">
      <c r="A19" s="394" t="n">
        <v>3</v>
      </c>
      <c r="B19" s="267" t="inlineStr">
        <is>
          <t>91.05.05-015</t>
        </is>
      </c>
      <c r="C19" s="268" t="inlineStr">
        <is>
          <t>Краны на автомобильном ходу, грузоподъемность 16 т</t>
        </is>
      </c>
      <c r="D19" s="412" t="inlineStr">
        <is>
          <t>маш.час</t>
        </is>
      </c>
      <c r="E19" s="468" t="n">
        <v>39.7</v>
      </c>
      <c r="F19" s="270" t="n">
        <v>115.4</v>
      </c>
      <c r="G19" s="296">
        <f>ROUND(E19*F19,2)</f>
        <v/>
      </c>
      <c r="H19" s="208">
        <f>G19/$G$25</f>
        <v/>
      </c>
      <c r="I19" s="296">
        <f>ROUND(F19*Прил.10!$D$12,2)</f>
        <v/>
      </c>
      <c r="J19" s="296">
        <f>ROUND(I19*E19,2)</f>
        <v/>
      </c>
    </row>
    <row r="20" ht="25.5" customFormat="1" customHeight="1" s="317">
      <c r="A20" s="394" t="n">
        <v>4</v>
      </c>
      <c r="B20" s="267" t="inlineStr">
        <is>
          <t>91.14.02-003</t>
        </is>
      </c>
      <c r="C20" s="268" t="inlineStr">
        <is>
          <t>Автомобили бортовые, грузоподъемность до 10 т</t>
        </is>
      </c>
      <c r="D20" s="412" t="inlineStr">
        <is>
          <t>маш.час</t>
        </is>
      </c>
      <c r="E20" s="468" t="n">
        <v>39.7</v>
      </c>
      <c r="F20" s="270" t="n">
        <v>80.44</v>
      </c>
      <c r="G20" s="296">
        <f>ROUND(E20*F20,2)</f>
        <v/>
      </c>
      <c r="H20" s="208">
        <f>G20/$G$25</f>
        <v/>
      </c>
      <c r="I20" s="296">
        <f>ROUND(F20*Прил.10!$D$12,2)</f>
        <v/>
      </c>
      <c r="J20" s="296">
        <f>ROUND(I20*E20,2)</f>
        <v/>
      </c>
    </row>
    <row r="21" ht="14.25" customFormat="1" customHeight="1" s="317">
      <c r="A21" s="394" t="n"/>
      <c r="B21" s="394" t="n"/>
      <c r="C21" s="393" t="inlineStr">
        <is>
          <t>Итого основные машины и механизмы</t>
        </is>
      </c>
      <c r="D21" s="394" t="n"/>
      <c r="E21" s="467" t="n"/>
      <c r="F21" s="296" t="n"/>
      <c r="G21" s="296">
        <f>SUM(G19:G20)</f>
        <v/>
      </c>
      <c r="H21" s="392">
        <f>G21/G25</f>
        <v/>
      </c>
      <c r="I21" s="273" t="n"/>
      <c r="J21" s="274">
        <f>SUM(J19:J20)</f>
        <v/>
      </c>
    </row>
    <row r="22" outlineLevel="1" ht="25.5" customFormat="1" customHeight="1" s="317">
      <c r="A22" s="394" t="n">
        <v>5</v>
      </c>
      <c r="B22" s="267" t="inlineStr">
        <is>
          <t>91.06.03-063</t>
        </is>
      </c>
      <c r="C22" s="268" t="inlineStr">
        <is>
          <t>Лебедки электрические тяговым усилием до 49,05 кН (5 т)</t>
        </is>
      </c>
      <c r="D22" s="412" t="inlineStr">
        <is>
          <t>маш.час</t>
        </is>
      </c>
      <c r="E22" s="468" t="n">
        <v>49.8</v>
      </c>
      <c r="F22" s="270" t="n">
        <v>8.199999999999999</v>
      </c>
      <c r="G22" s="201">
        <f>ROUND(E22*F22,2)</f>
        <v/>
      </c>
      <c r="H22" s="208">
        <f>G22/$G$25</f>
        <v/>
      </c>
      <c r="I22" s="296">
        <f>ROUND(F22*Прил.10!$D$12,2)</f>
        <v/>
      </c>
      <c r="J22" s="296">
        <f>ROUND(I22*E22,2)</f>
        <v/>
      </c>
    </row>
    <row r="23" outlineLevel="1" ht="25.5" customFormat="1" customHeight="1" s="317">
      <c r="A23" s="394" t="n">
        <v>6</v>
      </c>
      <c r="B23" s="267" t="inlineStr">
        <is>
          <t>91.06.01-003</t>
        </is>
      </c>
      <c r="C23" s="268" t="inlineStr">
        <is>
          <t>Домкраты гидравлические, грузоподъемность 63-100 т</t>
        </is>
      </c>
      <c r="D23" s="412" t="inlineStr">
        <is>
          <t>маш.час</t>
        </is>
      </c>
      <c r="E23" s="468" t="n">
        <v>49.8</v>
      </c>
      <c r="F23" s="270" t="n">
        <v>0.9</v>
      </c>
      <c r="G23" s="201">
        <f>ROUND(E23*F23,2)</f>
        <v/>
      </c>
      <c r="H23" s="208">
        <f>G23/$G$25</f>
        <v/>
      </c>
      <c r="I23" s="296">
        <f>ROUND(F23*Прил.10!$D$12,2)</f>
        <v/>
      </c>
      <c r="J23" s="296">
        <f>ROUND(I23*E23,2)</f>
        <v/>
      </c>
    </row>
    <row r="24" ht="14.25" customFormat="1" customHeight="1" s="317">
      <c r="A24" s="394" t="n"/>
      <c r="B24" s="394" t="n"/>
      <c r="C24" s="393" t="inlineStr">
        <is>
          <t>Итого прочие машины и механизмы</t>
        </is>
      </c>
      <c r="D24" s="394" t="n"/>
      <c r="E24" s="395" t="n"/>
      <c r="F24" s="296" t="n"/>
      <c r="G24" s="201">
        <f>G22+G23</f>
        <v/>
      </c>
      <c r="H24" s="208">
        <f>G24/G25</f>
        <v/>
      </c>
      <c r="I24" s="296" t="n"/>
      <c r="J24" s="296">
        <f>J22+J23</f>
        <v/>
      </c>
    </row>
    <row r="25" ht="25.5" customFormat="1" customHeight="1" s="317">
      <c r="A25" s="394" t="n"/>
      <c r="B25" s="394" t="n"/>
      <c r="C25" s="383" t="inlineStr">
        <is>
          <t>Итого по разделу «Машины и механизмы»</t>
        </is>
      </c>
      <c r="D25" s="394" t="n"/>
      <c r="E25" s="395" t="n"/>
      <c r="F25" s="296" t="n"/>
      <c r="G25" s="296">
        <f>G24+G21</f>
        <v/>
      </c>
      <c r="H25" s="194" t="n">
        <v>1</v>
      </c>
      <c r="I25" s="195" t="n"/>
      <c r="J25" s="290">
        <f>J24+J21</f>
        <v/>
      </c>
    </row>
    <row r="26" ht="14.25" customFormat="1" customHeight="1" s="317">
      <c r="A26" s="394" t="n"/>
      <c r="B26" s="383" t="inlineStr">
        <is>
          <t>Оборудование</t>
        </is>
      </c>
      <c r="C26" s="458" t="n"/>
      <c r="D26" s="458" t="n"/>
      <c r="E26" s="458" t="n"/>
      <c r="F26" s="458" t="n"/>
      <c r="G26" s="458" t="n"/>
      <c r="H26" s="459" t="n"/>
      <c r="I26" s="200" t="n"/>
      <c r="J26" s="200" t="n"/>
    </row>
    <row r="27">
      <c r="A27" s="394" t="n"/>
      <c r="B27" s="393" t="inlineStr">
        <is>
          <t>Основное оборудование</t>
        </is>
      </c>
      <c r="C27" s="458" t="n"/>
      <c r="D27" s="458" t="n"/>
      <c r="E27" s="458" t="n"/>
      <c r="F27" s="458" t="n"/>
      <c r="G27" s="458" t="n"/>
      <c r="H27" s="459" t="n"/>
      <c r="I27" s="200" t="n"/>
      <c r="J27" s="200" t="n"/>
      <c r="K27" s="317" t="n"/>
      <c r="L27" s="317" t="n"/>
    </row>
    <row r="28">
      <c r="A28" s="394" t="n"/>
      <c r="B28" s="394" t="n"/>
      <c r="C28" s="393" t="inlineStr">
        <is>
          <t>Итого основное оборудование</t>
        </is>
      </c>
      <c r="D28" s="394" t="n"/>
      <c r="E28" s="466" t="n"/>
      <c r="F28" s="396" t="n"/>
      <c r="G28" s="296" t="n">
        <v>0</v>
      </c>
      <c r="H28" s="208" t="n">
        <v>0</v>
      </c>
      <c r="I28" s="201" t="n"/>
      <c r="J28" s="296" t="n">
        <v>0</v>
      </c>
      <c r="K28" s="317" t="n"/>
      <c r="L28" s="317" t="n"/>
    </row>
    <row r="29">
      <c r="A29" s="394" t="n"/>
      <c r="B29" s="394" t="n"/>
      <c r="C29" s="393" t="inlineStr">
        <is>
          <t>Итого прочее оборудование</t>
        </is>
      </c>
      <c r="D29" s="394" t="n"/>
      <c r="E29" s="467" t="n"/>
      <c r="F29" s="396" t="n"/>
      <c r="G29" s="296" t="n">
        <v>0</v>
      </c>
      <c r="H29" s="208" t="n">
        <v>0</v>
      </c>
      <c r="I29" s="201" t="n"/>
      <c r="J29" s="296" t="n">
        <v>0</v>
      </c>
      <c r="K29" s="317" t="n"/>
      <c r="L29" s="317" t="n"/>
    </row>
    <row r="30">
      <c r="A30" s="394" t="n"/>
      <c r="B30" s="394" t="n"/>
      <c r="C30" s="383" t="inlineStr">
        <is>
          <t>Итого по разделу «Оборудование»</t>
        </is>
      </c>
      <c r="D30" s="394" t="n"/>
      <c r="E30" s="395" t="n"/>
      <c r="F30" s="396" t="n"/>
      <c r="G30" s="296">
        <f>G28+G29</f>
        <v/>
      </c>
      <c r="H30" s="208" t="n">
        <v>0</v>
      </c>
      <c r="I30" s="201" t="n"/>
      <c r="J30" s="296" t="n">
        <v>0</v>
      </c>
      <c r="K30" s="317" t="n"/>
      <c r="L30" s="317" t="n"/>
    </row>
    <row r="31" ht="25.5" customHeight="1" s="337">
      <c r="A31" s="394" t="n"/>
      <c r="B31" s="394" t="n"/>
      <c r="C31" s="393" t="inlineStr">
        <is>
          <t>в том числе технологическое оборудование</t>
        </is>
      </c>
      <c r="D31" s="394" t="n"/>
      <c r="E31" s="466" t="n"/>
      <c r="F31" s="396" t="n"/>
      <c r="G31" s="296">
        <f>'Прил.6 Расчет ОБ'!G12</f>
        <v/>
      </c>
      <c r="H31" s="397" t="n"/>
      <c r="I31" s="201" t="n"/>
      <c r="J31" s="296">
        <f>J30</f>
        <v/>
      </c>
      <c r="K31" s="317" t="n"/>
      <c r="L31" s="317" t="n"/>
    </row>
    <row r="32" ht="14.25" customFormat="1" customHeight="1" s="317">
      <c r="A32" s="394" t="n"/>
      <c r="B32" s="383" t="inlineStr">
        <is>
          <t>Материалы</t>
        </is>
      </c>
      <c r="C32" s="458" t="n"/>
      <c r="D32" s="458" t="n"/>
      <c r="E32" s="458" t="n"/>
      <c r="F32" s="458" t="n"/>
      <c r="G32" s="458" t="n"/>
      <c r="H32" s="459" t="n"/>
      <c r="I32" s="200" t="n"/>
      <c r="J32" s="200" t="n"/>
    </row>
    <row r="33" ht="14.25" customFormat="1" customHeight="1" s="317">
      <c r="A33" s="389" t="n"/>
      <c r="B33" s="388" t="inlineStr">
        <is>
          <t>Основные материалы</t>
        </is>
      </c>
      <c r="C33" s="469" t="n"/>
      <c r="D33" s="469" t="n"/>
      <c r="E33" s="469" t="n"/>
      <c r="F33" s="469" t="n"/>
      <c r="G33" s="469" t="n"/>
      <c r="H33" s="470" t="n"/>
      <c r="I33" s="214" t="n"/>
      <c r="J33" s="214" t="n"/>
    </row>
    <row r="34" ht="14.25" customFormat="1" customHeight="1" s="317">
      <c r="A34" s="394" t="n">
        <v>7</v>
      </c>
      <c r="B34" s="394" t="inlineStr">
        <is>
          <t>БЦ.83.48</t>
        </is>
      </c>
      <c r="C34" s="393" t="inlineStr">
        <is>
          <t>Кабель медный 6кВ 1х1000 мм2</t>
        </is>
      </c>
      <c r="D34" s="394" t="inlineStr">
        <is>
          <t>км</t>
        </is>
      </c>
      <c r="E34" s="466" t="n">
        <v>3.3</v>
      </c>
      <c r="F34" s="396">
        <f>ROUND(I34/Прил.10!$D$13,2)</f>
        <v/>
      </c>
      <c r="G34" s="296">
        <f>ROUND(E34*F34,2)</f>
        <v/>
      </c>
      <c r="H34" s="208">
        <f>G34/$G$42</f>
        <v/>
      </c>
      <c r="I34" s="297" t="n">
        <v>11142322.43</v>
      </c>
      <c r="J34" s="296">
        <f>ROUND(I34*E34,2)</f>
        <v/>
      </c>
    </row>
    <row r="35" ht="14.25" customFormat="1" customHeight="1" s="317">
      <c r="A35" s="394" t="n"/>
      <c r="B35" s="292" t="n"/>
      <c r="C35" s="393" t="inlineStr">
        <is>
          <t>Итого основные материалы</t>
        </is>
      </c>
      <c r="D35" s="394" t="n"/>
      <c r="E35" s="466" t="n"/>
      <c r="F35" s="296" t="n"/>
      <c r="G35" s="296">
        <f>G34</f>
        <v/>
      </c>
      <c r="H35" s="208">
        <f>G35/$G$42</f>
        <v/>
      </c>
      <c r="I35" s="296" t="n"/>
      <c r="J35" s="296">
        <f>J34</f>
        <v/>
      </c>
    </row>
    <row r="36" ht="25.5" customFormat="1" customHeight="1" s="317">
      <c r="A36" s="394" t="n">
        <v>8</v>
      </c>
      <c r="B36" s="285" t="inlineStr">
        <is>
          <t>08.3.08.02-0052</t>
        </is>
      </c>
      <c r="C36" s="286" t="inlineStr">
        <is>
          <t>Уголок горячекатаный, марка стали ВСт3кп2, размер 50х50х5 мм</t>
        </is>
      </c>
      <c r="D36" s="287" t="inlineStr">
        <is>
          <t>т</t>
        </is>
      </c>
      <c r="E36" s="471" t="n">
        <v>0.1</v>
      </c>
      <c r="F36" s="289" t="n">
        <v>5763</v>
      </c>
      <c r="G36" s="290">
        <f>ROUND(E36*F36,2)</f>
        <v/>
      </c>
      <c r="H36" s="277">
        <f>G36/$G$42</f>
        <v/>
      </c>
      <c r="I36" s="290">
        <f>ROUND(F36*Прил.10!$D$13,2)</f>
        <v/>
      </c>
      <c r="J36" s="290">
        <f>ROUND(I36*E36,2)</f>
        <v/>
      </c>
    </row>
    <row r="37" ht="14.25" customFormat="1" customHeight="1" s="317">
      <c r="A37" s="394" t="n">
        <v>9</v>
      </c>
      <c r="B37" s="267" t="inlineStr">
        <is>
          <t>14.4.02.09-0001</t>
        </is>
      </c>
      <c r="C37" s="268" t="inlineStr">
        <is>
          <t>Краска</t>
        </is>
      </c>
      <c r="D37" s="412" t="inlineStr">
        <is>
          <t>кг</t>
        </is>
      </c>
      <c r="E37" s="468" t="n">
        <v>2.5</v>
      </c>
      <c r="F37" s="252" t="n">
        <v>28.6</v>
      </c>
      <c r="G37" s="296">
        <f>ROUND(E37*F37,2)</f>
        <v/>
      </c>
      <c r="H37" s="208">
        <f>G37/$G$42</f>
        <v/>
      </c>
      <c r="I37" s="296">
        <f>ROUND(F37*Прил.10!$D$13,2)</f>
        <v/>
      </c>
      <c r="J37" s="296">
        <f>ROUND(I37*E37,2)</f>
        <v/>
      </c>
    </row>
    <row r="38" ht="38.25" customFormat="1" customHeight="1" s="317">
      <c r="A38" s="394" t="n">
        <v>10</v>
      </c>
      <c r="B38" s="267" t="inlineStr">
        <is>
          <t>08.3.07.01-0076</t>
        </is>
      </c>
      <c r="C38" s="268" t="inlineStr">
        <is>
          <t>Прокат полосовой, горячекатаный, марка стали Ст3сп, ширина 50-200 мм, толщина 4-5 мм</t>
        </is>
      </c>
      <c r="D38" s="412" t="inlineStr">
        <is>
          <t>т</t>
        </is>
      </c>
      <c r="E38" s="468" t="n">
        <v>0.01</v>
      </c>
      <c r="F38" s="252" t="n">
        <v>5000</v>
      </c>
      <c r="G38" s="296">
        <f>ROUND(E38*F38,2)</f>
        <v/>
      </c>
      <c r="H38" s="208">
        <f>G38/$G$42</f>
        <v/>
      </c>
      <c r="I38" s="296">
        <f>ROUND(F38*Прил.10!$D$13,2)</f>
        <v/>
      </c>
      <c r="J38" s="296">
        <f>ROUND(I38*E38,2)</f>
        <v/>
      </c>
    </row>
    <row r="39" ht="14.25" customFormat="1" customHeight="1" s="317">
      <c r="A39" s="394" t="n">
        <v>11</v>
      </c>
      <c r="B39" s="267" t="inlineStr">
        <is>
          <t>01.7.06.07-0002</t>
        </is>
      </c>
      <c r="C39" s="268" t="inlineStr">
        <is>
          <t>Лента монтажная, тип ЛМ-5</t>
        </is>
      </c>
      <c r="D39" s="412" t="inlineStr">
        <is>
          <t>10 м</t>
        </is>
      </c>
      <c r="E39" s="468" t="n">
        <v>0.96</v>
      </c>
      <c r="F39" s="252" t="n">
        <v>6.9</v>
      </c>
      <c r="G39" s="296">
        <f>ROUND(E39*F39,2)</f>
        <v/>
      </c>
      <c r="H39" s="208">
        <f>G39/$G$42</f>
        <v/>
      </c>
      <c r="I39" s="296">
        <f>ROUND(F39*Прил.10!$D$13,2)</f>
        <v/>
      </c>
      <c r="J39" s="296">
        <f>ROUND(I39*E39,2)</f>
        <v/>
      </c>
    </row>
    <row r="40" ht="14.25" customFormat="1" customHeight="1" s="317">
      <c r="A40" s="394" t="n">
        <v>12</v>
      </c>
      <c r="B40" s="267" t="inlineStr">
        <is>
          <t>14.4.03.03-0002</t>
        </is>
      </c>
      <c r="C40" s="268" t="inlineStr">
        <is>
          <t>Лак битумный БТ-123</t>
        </is>
      </c>
      <c r="D40" s="412" t="inlineStr">
        <is>
          <t>т</t>
        </is>
      </c>
      <c r="E40" s="468" t="n">
        <v>0.0005999999999999999</v>
      </c>
      <c r="F40" s="252" t="n">
        <v>7826.9</v>
      </c>
      <c r="G40" s="296">
        <f>ROUND(E40*F40,2)</f>
        <v/>
      </c>
      <c r="H40" s="208">
        <f>G40/$G$42</f>
        <v/>
      </c>
      <c r="I40" s="296">
        <f>ROUND(F40*Прил.10!$D$13,2)</f>
        <v/>
      </c>
      <c r="J40" s="296">
        <f>ROUND(I40*E40,2)</f>
        <v/>
      </c>
    </row>
    <row r="41" ht="14.25" customFormat="1" customHeight="1" s="317">
      <c r="A41" s="405" t="n"/>
      <c r="B41" s="405" t="n"/>
      <c r="C41" s="275" t="inlineStr">
        <is>
          <t>Итого прочие материалы</t>
        </is>
      </c>
      <c r="D41" s="405" t="n"/>
      <c r="E41" s="472" t="n"/>
      <c r="F41" s="276" t="n"/>
      <c r="G41" s="290">
        <f>SUM(G36:G40)</f>
        <v/>
      </c>
      <c r="H41" s="277">
        <f>G41/$G$42</f>
        <v/>
      </c>
      <c r="I41" s="296" t="n"/>
      <c r="J41" s="296">
        <f>SUM(J36:J40)</f>
        <v/>
      </c>
    </row>
    <row r="42" ht="14.25" customFormat="1" customHeight="1" s="317">
      <c r="A42" s="394" t="n"/>
      <c r="B42" s="394" t="n"/>
      <c r="C42" s="383" t="inlineStr">
        <is>
          <t>Итого по разделу «Материалы»</t>
        </is>
      </c>
      <c r="D42" s="394" t="n"/>
      <c r="E42" s="395" t="n"/>
      <c r="F42" s="396" t="n"/>
      <c r="G42" s="296">
        <f>G35+G41</f>
        <v/>
      </c>
      <c r="H42" s="397">
        <f>G42/$G$42</f>
        <v/>
      </c>
      <c r="I42" s="296" t="n"/>
      <c r="J42" s="296">
        <f>J35+J41</f>
        <v/>
      </c>
    </row>
    <row r="43" ht="14.25" customFormat="1" customHeight="1" s="317">
      <c r="A43" s="394" t="n"/>
      <c r="B43" s="394" t="n"/>
      <c r="C43" s="393" t="inlineStr">
        <is>
          <t>ИТОГО ПО РМ</t>
        </is>
      </c>
      <c r="D43" s="394" t="n"/>
      <c r="E43" s="395" t="n"/>
      <c r="F43" s="396" t="n"/>
      <c r="G43" s="296">
        <f>G14+G25+G42</f>
        <v/>
      </c>
      <c r="H43" s="397" t="n"/>
      <c r="I43" s="296" t="n"/>
      <c r="J43" s="296">
        <f>J14+J25+J42</f>
        <v/>
      </c>
    </row>
    <row r="44" ht="14.25" customFormat="1" customHeight="1" s="317">
      <c r="A44" s="394" t="n"/>
      <c r="B44" s="394" t="n"/>
      <c r="C44" s="393" t="inlineStr">
        <is>
          <t>Накладные расходы</t>
        </is>
      </c>
      <c r="D44" s="203">
        <f>ROUND(G44/(G$16+$G$14),2)</f>
        <v/>
      </c>
      <c r="E44" s="395" t="n"/>
      <c r="F44" s="396" t="n"/>
      <c r="G44" s="296" t="n">
        <v>3191.69</v>
      </c>
      <c r="H44" s="397" t="n"/>
      <c r="I44" s="296" t="n"/>
      <c r="J44" s="296">
        <f>ROUND(D44*(J14+J16),2)</f>
        <v/>
      </c>
    </row>
    <row r="45" ht="14.25" customFormat="1" customHeight="1" s="317">
      <c r="A45" s="394" t="n"/>
      <c r="B45" s="394" t="n"/>
      <c r="C45" s="393" t="inlineStr">
        <is>
          <t>Сметная прибыль</t>
        </is>
      </c>
      <c r="D45" s="203">
        <f>ROUND(G45/(G$14+G$16),2)</f>
        <v/>
      </c>
      <c r="E45" s="395" t="n"/>
      <c r="F45" s="396" t="n"/>
      <c r="G45" s="296" t="n">
        <v>1678.1</v>
      </c>
      <c r="H45" s="397" t="n"/>
      <c r="I45" s="296" t="n"/>
      <c r="J45" s="296">
        <f>ROUND(D45*(J14+J16),2)</f>
        <v/>
      </c>
    </row>
    <row r="46" ht="14.25" customFormat="1" customHeight="1" s="317">
      <c r="A46" s="394" t="n"/>
      <c r="B46" s="394" t="n"/>
      <c r="C46" s="393" t="inlineStr">
        <is>
          <t>Итого СМР (с НР и СП)</t>
        </is>
      </c>
      <c r="D46" s="394" t="n"/>
      <c r="E46" s="395" t="n"/>
      <c r="F46" s="396" t="n"/>
      <c r="G46" s="296">
        <f>G14+G25+G42+G44+G45</f>
        <v/>
      </c>
      <c r="H46" s="397" t="n"/>
      <c r="I46" s="296" t="n"/>
      <c r="J46" s="296">
        <f>J14+J25+J42+J44+J45</f>
        <v/>
      </c>
    </row>
    <row r="47" ht="14.25" customFormat="1" customHeight="1" s="317">
      <c r="A47" s="394" t="n"/>
      <c r="B47" s="394" t="n"/>
      <c r="C47" s="393" t="inlineStr">
        <is>
          <t>ВСЕГО СМР + ОБОРУДОВАНИЕ</t>
        </is>
      </c>
      <c r="D47" s="394" t="n"/>
      <c r="E47" s="395" t="n"/>
      <c r="F47" s="396" t="n"/>
      <c r="G47" s="296">
        <f>G46+G30</f>
        <v/>
      </c>
      <c r="H47" s="397" t="n"/>
      <c r="I47" s="296" t="n"/>
      <c r="J47" s="296">
        <f>J46+J30</f>
        <v/>
      </c>
    </row>
    <row r="48" ht="34.5" customFormat="1" customHeight="1" s="317">
      <c r="A48" s="394" t="n"/>
      <c r="B48" s="394" t="n"/>
      <c r="C48" s="393" t="inlineStr">
        <is>
          <t>ИТОГО ПОКАЗАТЕЛЬ НА ЕД. ИЗМ.</t>
        </is>
      </c>
      <c r="D48" s="394" t="inlineStr">
        <is>
          <t>1 км</t>
        </is>
      </c>
      <c r="E48" s="395" t="n">
        <v>1</v>
      </c>
      <c r="F48" s="396" t="n"/>
      <c r="G48" s="296">
        <f>G47/E48</f>
        <v/>
      </c>
      <c r="H48" s="397" t="n"/>
      <c r="I48" s="296" t="n"/>
      <c r="J48" s="296">
        <f>J47/E48</f>
        <v/>
      </c>
    </row>
    <row r="50" ht="14.25" customFormat="1" customHeight="1" s="317">
      <c r="A50" s="316" t="inlineStr">
        <is>
          <t>Составил ______________________    А.Р. Маркова</t>
        </is>
      </c>
    </row>
    <row r="51" ht="14.25" customFormat="1" customHeight="1" s="317">
      <c r="A51" s="319" t="inlineStr">
        <is>
          <t xml:space="preserve">                         (подпись, инициалы, фамилия)</t>
        </is>
      </c>
    </row>
    <row r="52" ht="14.25" customFormat="1" customHeight="1" s="317">
      <c r="A52" s="316" t="n"/>
    </row>
    <row r="53" ht="14.25" customFormat="1" customHeight="1" s="317">
      <c r="A53" s="316" t="inlineStr">
        <is>
          <t>Проверил ______________________        А.В. Костянецкая</t>
        </is>
      </c>
    </row>
    <row r="54" ht="14.25" customFormat="1" customHeight="1" s="317">
      <c r="A54" s="31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5" sqref="D25"/>
    </sheetView>
  </sheetViews>
  <sheetFormatPr baseColWidth="8" defaultRowHeight="15"/>
  <cols>
    <col width="5.7109375" customWidth="1" style="337" min="1" max="1"/>
    <col width="17.5703125" customWidth="1" style="337" min="2" max="2"/>
    <col width="39.140625" customWidth="1" style="337" min="3" max="3"/>
    <col width="10.7109375" customWidth="1" style="337" min="4" max="4"/>
    <col width="13.85546875" customWidth="1" style="337" min="5" max="5"/>
    <col width="13.28515625" customWidth="1" style="337" min="6" max="6"/>
    <col width="14.140625" customWidth="1" style="337" min="7" max="7"/>
  </cols>
  <sheetData>
    <row r="1">
      <c r="A1" s="407" t="inlineStr">
        <is>
          <t>Приложение №6</t>
        </is>
      </c>
    </row>
    <row r="2" ht="21.75" customHeight="1" s="337">
      <c r="A2" s="407" t="n"/>
      <c r="B2" s="407" t="n"/>
      <c r="C2" s="407" t="n"/>
      <c r="D2" s="407" t="n"/>
      <c r="E2" s="407" t="n"/>
      <c r="F2" s="407" t="n"/>
      <c r="G2" s="407" t="n"/>
    </row>
    <row r="3">
      <c r="A3" s="359" t="inlineStr">
        <is>
          <t>Расчет стоимости оборудования</t>
        </is>
      </c>
    </row>
    <row r="4" ht="25.5" customHeight="1" s="337">
      <c r="A4" s="362" t="inlineStr">
        <is>
          <t>Наименование разрабатываемого показателя УНЦ — КЛ 6 кВ (с медной жилой) сечение жилы 1000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37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4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37">
      <c r="A9" s="238" t="n"/>
      <c r="B9" s="39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37">
      <c r="A10" s="394" t="n"/>
      <c r="B10" s="383" t="n"/>
      <c r="C10" s="393" t="inlineStr">
        <is>
          <t>ИТОГО ИНЖЕНЕРНОЕ ОБОРУДОВАНИЕ</t>
        </is>
      </c>
      <c r="D10" s="383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25.5" customHeight="1" s="337">
      <c r="A12" s="394" t="n"/>
      <c r="B12" s="393" t="n"/>
      <c r="C12" s="393" t="inlineStr">
        <is>
          <t>ИТОГО ТЕХНОЛОГИЧЕСКОЕ ОБОРУДОВАНИЕ</t>
        </is>
      </c>
      <c r="D12" s="393" t="n"/>
      <c r="E12" s="411" t="n"/>
      <c r="F12" s="396" t="n"/>
      <c r="G12" s="296" t="n">
        <v>0</v>
      </c>
    </row>
    <row r="13" ht="19.5" customHeight="1" s="337">
      <c r="A13" s="394" t="n"/>
      <c r="B13" s="393" t="n"/>
      <c r="C13" s="393" t="inlineStr">
        <is>
          <t>Всего по разделу «Оборудование»</t>
        </is>
      </c>
      <c r="D13" s="393" t="n"/>
      <c r="E13" s="411" t="n"/>
      <c r="F13" s="396" t="n"/>
      <c r="G13" s="296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9" sqref="D19"/>
    </sheetView>
  </sheetViews>
  <sheetFormatPr baseColWidth="8" defaultRowHeight="15"/>
  <cols>
    <col width="12.7109375" customWidth="1" style="337" min="1" max="1"/>
    <col width="22.42578125" customWidth="1" style="337" min="2" max="2"/>
    <col width="37.140625" customWidth="1" style="337" min="3" max="3"/>
    <col width="49" customWidth="1" style="337" min="4" max="4"/>
    <col width="9.140625" customWidth="1" style="337" min="5" max="5"/>
  </cols>
  <sheetData>
    <row r="1" ht="15.75" customHeight="1" s="337">
      <c r="A1" s="339" t="n"/>
      <c r="B1" s="339" t="n"/>
      <c r="C1" s="339" t="n"/>
      <c r="D1" s="339" t="inlineStr">
        <is>
          <t>Приложение №7</t>
        </is>
      </c>
    </row>
    <row r="2" ht="15.75" customHeight="1" s="337">
      <c r="A2" s="339" t="n"/>
      <c r="B2" s="339" t="n"/>
      <c r="C2" s="339" t="n"/>
      <c r="D2" s="339" t="n"/>
    </row>
    <row r="3" ht="15.75" customHeight="1" s="337">
      <c r="A3" s="339" t="n"/>
      <c r="B3" s="310" t="inlineStr">
        <is>
          <t>Расчет показателя УНЦ</t>
        </is>
      </c>
      <c r="C3" s="339" t="n"/>
      <c r="D3" s="339" t="n"/>
    </row>
    <row r="4" ht="15.75" customHeight="1" s="337">
      <c r="A4" s="339" t="n"/>
      <c r="B4" s="339" t="n"/>
      <c r="C4" s="339" t="n"/>
      <c r="D4" s="339" t="n"/>
    </row>
    <row r="5" ht="31.5" customHeight="1" s="337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37">
      <c r="A6" s="339" t="inlineStr">
        <is>
          <t>Единица измерения  — 1 км</t>
        </is>
      </c>
      <c r="B6" s="339" t="n"/>
      <c r="C6" s="339" t="n"/>
      <c r="D6" s="339" t="n"/>
    </row>
    <row r="7" ht="15.75" customHeight="1" s="337">
      <c r="A7" s="339" t="n"/>
      <c r="B7" s="339" t="n"/>
      <c r="C7" s="339" t="n"/>
      <c r="D7" s="339" t="n"/>
    </row>
    <row r="8">
      <c r="A8" s="377" t="inlineStr">
        <is>
          <t>Код показателя</t>
        </is>
      </c>
      <c r="B8" s="377" t="inlineStr">
        <is>
          <t>Наименование показателя</t>
        </is>
      </c>
      <c r="C8" s="377" t="inlineStr">
        <is>
          <t>Наименование РМ, входящих в состав показателя</t>
        </is>
      </c>
      <c r="D8" s="377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37">
      <c r="A10" s="377" t="n">
        <v>1</v>
      </c>
      <c r="B10" s="377" t="n">
        <v>2</v>
      </c>
      <c r="C10" s="377" t="n">
        <v>3</v>
      </c>
      <c r="D10" s="377" t="n">
        <v>4</v>
      </c>
    </row>
    <row r="11" ht="31.5" customHeight="1" s="337">
      <c r="A11" s="377" t="inlineStr">
        <is>
          <t>К2-14-1</t>
        </is>
      </c>
      <c r="B11" s="377" t="inlineStr">
        <is>
          <t xml:space="preserve">УНЦ КЛ 6 - 500 кВ (с медной жилой) </t>
        </is>
      </c>
      <c r="C11" s="314">
        <f>D5</f>
        <v/>
      </c>
      <c r="D11" s="345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7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1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337" min="1" max="1"/>
    <col width="40.7109375" customWidth="1" style="337" min="2" max="2"/>
    <col width="37" customWidth="1" style="337" min="3" max="3"/>
    <col width="32" customWidth="1" style="337" min="4" max="4"/>
    <col width="9.140625" customWidth="1" style="337" min="5" max="5"/>
  </cols>
  <sheetData>
    <row r="4" ht="15.75" customHeight="1" s="337">
      <c r="B4" s="369" t="inlineStr">
        <is>
          <t>Приложение № 10</t>
        </is>
      </c>
    </row>
    <row r="5" ht="18.75" customHeight="1" s="337">
      <c r="B5" s="172" t="n"/>
    </row>
    <row r="6" ht="15.75" customHeight="1" s="337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37">
      <c r="B9" s="377" t="inlineStr">
        <is>
          <t>Наименование индекса / норм сопутствующих затрат</t>
        </is>
      </c>
      <c r="C9" s="377" t="inlineStr">
        <is>
          <t>Дата применения и обоснование индекса / норм сопутствующих затрат</t>
        </is>
      </c>
      <c r="D9" s="377" t="inlineStr">
        <is>
          <t>Размер индекса / норма сопутствующих затрат</t>
        </is>
      </c>
    </row>
    <row r="10" ht="15.75" customHeight="1" s="337">
      <c r="B10" s="377" t="n">
        <v>1</v>
      </c>
      <c r="C10" s="377" t="n">
        <v>2</v>
      </c>
      <c r="D10" s="377" t="n">
        <v>3</v>
      </c>
    </row>
    <row r="11" ht="45" customHeight="1" s="337">
      <c r="B11" s="377" t="inlineStr">
        <is>
          <t xml:space="preserve">Индекс изменения сметной стоимости на 1 квартал 2023 года. ОЗП </t>
        </is>
      </c>
      <c r="C11" s="377" t="inlineStr">
        <is>
          <t>Письмо Минстроя России от 30.03.2023г. №17106-ИФ/09  прил.1</t>
        </is>
      </c>
      <c r="D11" s="377" t="n">
        <v>44.29</v>
      </c>
    </row>
    <row r="12" ht="29.25" customHeight="1" s="337">
      <c r="B12" s="377" t="inlineStr">
        <is>
          <t>Индекс изменения сметной стоимости на 1 квартал 2023 года. ЭМ</t>
        </is>
      </c>
      <c r="C12" s="377" t="inlineStr">
        <is>
          <t>Письмо Минстроя России от 30.03.2023г. №17106-ИФ/09  прил.1</t>
        </is>
      </c>
      <c r="D12" s="377" t="n">
        <v>10.84</v>
      </c>
    </row>
    <row r="13" ht="29.25" customHeight="1" s="337">
      <c r="B13" s="377" t="inlineStr">
        <is>
          <t>Индекс изменения сметной стоимости на 1 квартал 2023 года. МАТ</t>
        </is>
      </c>
      <c r="C13" s="377" t="inlineStr">
        <is>
          <t>Письмо Минстроя России от 30.03.2023г. №17106-ИФ/09  прил.1</t>
        </is>
      </c>
      <c r="D13" s="377" t="n">
        <v>5.34</v>
      </c>
    </row>
    <row r="14" ht="30.75" customHeight="1" s="337">
      <c r="B14" s="37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7" t="n">
        <v>6.26</v>
      </c>
    </row>
    <row r="15" ht="89.25" customHeight="1" s="337">
      <c r="B15" s="377" t="inlineStr">
        <is>
          <t>Временные здания и сооружения</t>
        </is>
      </c>
      <c r="C15" s="37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37">
      <c r="B16" s="377" t="inlineStr">
        <is>
          <t>Дополнительные затраты при производстве строительно-монтажных работ в зимнее время</t>
        </is>
      </c>
      <c r="C16" s="3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37">
      <c r="B17" s="377" t="inlineStr">
        <is>
          <t>Строительный контроль</t>
        </is>
      </c>
      <c r="C17" s="37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37">
      <c r="B18" s="377" t="inlineStr">
        <is>
          <t>Авторский надзор - 0,2%</t>
        </is>
      </c>
      <c r="C18" s="377" t="inlineStr">
        <is>
          <t>Приказ от 4.08.2020 № 421/пр п.173</t>
        </is>
      </c>
      <c r="D18" s="175" t="n">
        <v>0.002</v>
      </c>
    </row>
    <row r="19" ht="24" customHeight="1" s="337">
      <c r="B19" s="377" t="inlineStr">
        <is>
          <t>Непредвиденные расходы</t>
        </is>
      </c>
      <c r="C19" s="377" t="inlineStr">
        <is>
          <t>Приказ от 4.08.2020 № 421/пр п.179</t>
        </is>
      </c>
      <c r="D19" s="175" t="n">
        <v>0.03</v>
      </c>
    </row>
    <row r="20" ht="18.75" customHeight="1" s="337">
      <c r="B20" s="251" t="n"/>
    </row>
    <row r="21" ht="18.75" customHeight="1" s="337">
      <c r="B21" s="251" t="n"/>
    </row>
    <row r="22" ht="18.75" customHeight="1" s="337">
      <c r="B22" s="251" t="n"/>
    </row>
    <row r="23" ht="18.75" customHeight="1" s="337">
      <c r="B23" s="251" t="n"/>
    </row>
    <row r="26">
      <c r="B26" s="316" t="inlineStr">
        <is>
          <t>Составил ______________________        Е.А. Князева</t>
        </is>
      </c>
      <c r="C26" s="317" t="n"/>
    </row>
    <row r="27">
      <c r="B27" s="319" t="inlineStr">
        <is>
          <t xml:space="preserve">                         (подпись, инициалы, фамилия)</t>
        </is>
      </c>
      <c r="C27" s="317" t="n"/>
    </row>
    <row r="28">
      <c r="B28" s="316" t="n"/>
      <c r="C28" s="317" t="n"/>
    </row>
    <row r="29">
      <c r="B29" s="316" t="inlineStr">
        <is>
          <t>Проверил ______________________        А.В. Костянецкая</t>
        </is>
      </c>
      <c r="C29" s="317" t="n"/>
    </row>
    <row r="30">
      <c r="B30" s="319" t="inlineStr">
        <is>
          <t xml:space="preserve">                        (подпись, инициалы, фамилия)</t>
        </is>
      </c>
      <c r="C30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45" sqref="G45"/>
    </sheetView>
  </sheetViews>
  <sheetFormatPr baseColWidth="8" defaultColWidth="9.140625" defaultRowHeight="15"/>
  <cols>
    <col width="44.85546875" customWidth="1" style="337" min="2" max="2"/>
    <col width="13" customWidth="1" style="337" min="3" max="3"/>
    <col width="22.85546875" customWidth="1" style="337" min="4" max="4"/>
    <col width="21.5703125" customWidth="1" style="337" min="5" max="5"/>
    <col width="43.85546875" customWidth="1" style="337" min="6" max="6"/>
  </cols>
  <sheetData>
    <row r="1" s="337"/>
    <row r="2" ht="17.25" customHeight="1" s="337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3" s="337"/>
    <row r="4" ht="18" customHeight="1" s="337">
      <c r="A4" s="338" t="inlineStr">
        <is>
          <t>Составлен в уровне цен на 01.01.2023 г.</t>
        </is>
      </c>
      <c r="B4" s="339" t="n"/>
      <c r="C4" s="339" t="n"/>
      <c r="D4" s="339" t="n"/>
      <c r="E4" s="339" t="n"/>
      <c r="F4" s="339" t="n"/>
      <c r="G4" s="339" t="n"/>
    </row>
    <row r="5" ht="15.75" customHeight="1" s="337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339" t="n"/>
    </row>
    <row r="6" ht="15.75" customHeight="1" s="337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339" t="n"/>
    </row>
    <row r="7" ht="110.25" customHeight="1" s="337">
      <c r="A7" s="341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7" t="inlineStr">
        <is>
          <t>С1ср</t>
        </is>
      </c>
      <c r="D7" s="377" t="inlineStr">
        <is>
          <t>-</t>
        </is>
      </c>
      <c r="E7" s="344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9" t="n"/>
    </row>
    <row r="8" ht="31.5" customHeight="1" s="337">
      <c r="A8" s="341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377" t="inlineStr">
        <is>
          <t>tср</t>
        </is>
      </c>
      <c r="D8" s="377" t="inlineStr">
        <is>
          <t>1973ч/12мес.</t>
        </is>
      </c>
      <c r="E8" s="345">
        <f>1973/12</f>
        <v/>
      </c>
      <c r="F8" s="346" t="inlineStr">
        <is>
          <t>Производственный календарь 2023 год
(40-часов.неделя)</t>
        </is>
      </c>
      <c r="G8" s="348" t="n"/>
    </row>
    <row r="9" ht="15.75" customHeight="1" s="337">
      <c r="A9" s="341" t="inlineStr">
        <is>
          <t>1.3</t>
        </is>
      </c>
      <c r="B9" s="346" t="inlineStr">
        <is>
          <t>Коэффициент увеличения</t>
        </is>
      </c>
      <c r="C9" s="377" t="inlineStr">
        <is>
          <t>Кув</t>
        </is>
      </c>
      <c r="D9" s="377" t="inlineStr">
        <is>
          <t>-</t>
        </is>
      </c>
      <c r="E9" s="345" t="n">
        <v>1</v>
      </c>
      <c r="F9" s="346" t="n"/>
      <c r="G9" s="348" t="n"/>
    </row>
    <row r="10" ht="15.75" customHeight="1" s="337">
      <c r="A10" s="341" t="inlineStr">
        <is>
          <t>1.4</t>
        </is>
      </c>
      <c r="B10" s="346" t="inlineStr">
        <is>
          <t>Средний разряд работ</t>
        </is>
      </c>
      <c r="C10" s="377" t="n"/>
      <c r="D10" s="377" t="n"/>
      <c r="E10" s="349" t="n">
        <v>3.8</v>
      </c>
      <c r="F10" s="346" t="inlineStr">
        <is>
          <t>РТМ</t>
        </is>
      </c>
      <c r="G10" s="348" t="n"/>
    </row>
    <row r="11" ht="78.75" customHeight="1" s="337">
      <c r="A11" s="341" t="inlineStr">
        <is>
          <t>1.5</t>
        </is>
      </c>
      <c r="B11" s="346" t="inlineStr">
        <is>
          <t>Тарифный коэффициент среднего разряда работ</t>
        </is>
      </c>
      <c r="C11" s="377" t="inlineStr">
        <is>
          <t>КТ</t>
        </is>
      </c>
      <c r="D11" s="377" t="inlineStr">
        <is>
          <t>-</t>
        </is>
      </c>
      <c r="E11" s="350" t="n">
        <v>1.308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9" t="n"/>
    </row>
    <row r="12" ht="78.75" customHeight="1" s="337">
      <c r="A12" s="341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77" t="inlineStr">
        <is>
          <t>Кинф</t>
        </is>
      </c>
      <c r="D12" s="377" t="inlineStr">
        <is>
          <t>-</t>
        </is>
      </c>
      <c r="E12" s="473" t="n">
        <v>1.139</v>
      </c>
      <c r="F12" s="35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8" t="n"/>
    </row>
    <row r="13" ht="63" customHeight="1" s="337">
      <c r="A13" s="354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57">
        <f>((E7*E9/E8)*E11)*E12</f>
        <v/>
      </c>
      <c r="F13" s="35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2025-01-24T12:06:30Z</dcterms:modified>
  <cp:lastModifiedBy>REDMIBOOK</cp:lastModifiedBy>
  <cp:lastPrinted>2023-11-30T05:35:36Z</cp:lastPrinted>
</cp:coreProperties>
</file>