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'Прил.3'!$A$1:$H$37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right" vertical="top" wrapText="1"/>
    </xf>
    <xf numFmtId="166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43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1" fillId="0" borderId="2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85" zoomScaleNormal="55" workbookViewId="0">
      <selection activeCell="D30" sqref="D30"/>
    </sheetView>
  </sheetViews>
  <sheetFormatPr baseColWidth="8" defaultColWidth="9.140625" defaultRowHeight="15.75"/>
  <cols>
    <col width="9.140625" customWidth="1" style="327" min="1" max="2"/>
    <col width="51.7109375" customWidth="1" style="327" min="3" max="3"/>
    <col width="47" customWidth="1" style="327" min="4" max="4"/>
    <col width="37.42578125" customWidth="1" style="327" min="5" max="5"/>
    <col width="9.140625" customWidth="1" style="327" min="6" max="6"/>
  </cols>
  <sheetData>
    <row r="3">
      <c r="B3" s="357" t="inlineStr">
        <is>
          <t>Приложение № 1</t>
        </is>
      </c>
    </row>
    <row r="4">
      <c r="B4" s="358" t="inlineStr">
        <is>
          <t>Сравнительная таблица отбора объекта-представителя</t>
        </is>
      </c>
    </row>
    <row r="5" ht="84" customHeight="1" s="325">
      <c r="B5" s="360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5">
      <c r="B6" s="256" t="n"/>
      <c r="C6" s="256" t="n"/>
      <c r="D6" s="256" t="n"/>
    </row>
    <row r="7" ht="64.5" customHeight="1" s="325">
      <c r="B7" s="359" t="inlineStr">
        <is>
          <t>Наименование разрабатываемого показателя УНЦ - КЛ 220 кВ (с медной жилой) сечение жилы 1600 мм2</t>
        </is>
      </c>
    </row>
    <row r="8" ht="31.5" customHeight="1" s="325">
      <c r="B8" s="320" t="inlineStr">
        <is>
          <t xml:space="preserve">Сопоставимый уровень цен: </t>
        </is>
      </c>
      <c r="C8" s="320" t="n"/>
      <c r="D8" s="321">
        <f>D22</f>
        <v/>
      </c>
    </row>
    <row r="9" ht="15.75" customHeight="1" s="325">
      <c r="B9" s="359" t="inlineStr">
        <is>
          <t>Единица измерения  — 1 км</t>
        </is>
      </c>
    </row>
    <row r="10">
      <c r="B10" s="359" t="n"/>
    </row>
    <row r="11">
      <c r="B11" s="362" t="inlineStr">
        <is>
          <t>№ п/п</t>
        </is>
      </c>
      <c r="C11" s="362" t="inlineStr">
        <is>
          <t>Параметр</t>
        </is>
      </c>
      <c r="D11" s="362" t="inlineStr">
        <is>
          <t xml:space="preserve">Объект-представитель </t>
        </is>
      </c>
      <c r="E11" s="234" t="n"/>
    </row>
    <row r="12" ht="63" customHeight="1" s="325">
      <c r="B12" s="362" t="n">
        <v>1</v>
      </c>
      <c r="C12" s="339" t="inlineStr">
        <is>
          <t>Наименование объекта-представителя</t>
        </is>
      </c>
      <c r="D12" s="362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362" t="n">
        <v>2</v>
      </c>
      <c r="C13" s="339" t="inlineStr">
        <is>
          <t>Наименование субъекта Российской Федерации</t>
        </is>
      </c>
      <c r="D13" s="362" t="inlineStr">
        <is>
          <t>г. Санкт-Петербург</t>
        </is>
      </c>
    </row>
    <row r="14">
      <c r="B14" s="362" t="n">
        <v>3</v>
      </c>
      <c r="C14" s="339" t="inlineStr">
        <is>
          <t>Климатический район и подрайон</t>
        </is>
      </c>
      <c r="D14" s="362" t="inlineStr">
        <is>
          <t>IIВ</t>
        </is>
      </c>
    </row>
    <row r="15">
      <c r="B15" s="362" t="n">
        <v>4</v>
      </c>
      <c r="C15" s="339" t="inlineStr">
        <is>
          <t>Мощность объекта</t>
        </is>
      </c>
      <c r="D15" s="362" t="n">
        <v>1</v>
      </c>
    </row>
    <row r="16" ht="63" customHeight="1" s="325">
      <c r="B16" s="362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4" t="inlineStr">
        <is>
          <t>Кабель медный 220кВ 1х1600</t>
        </is>
      </c>
    </row>
    <row r="17" ht="63" customHeight="1" s="325">
      <c r="B17" s="362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3">
        <f>D18+D19+D20+D21</f>
        <v/>
      </c>
      <c r="E17" s="255" t="n"/>
    </row>
    <row r="18">
      <c r="B18" s="233" t="inlineStr">
        <is>
          <t>6.1</t>
        </is>
      </c>
      <c r="C18" s="339" t="inlineStr">
        <is>
          <t>строительно-монтажные работы</t>
        </is>
      </c>
      <c r="D18" s="323">
        <f>'Прил.2 Расч стоим'!G13</f>
        <v/>
      </c>
    </row>
    <row r="19">
      <c r="B19" s="233" t="inlineStr">
        <is>
          <t>6.2</t>
        </is>
      </c>
      <c r="C19" s="339" t="inlineStr">
        <is>
          <t>оборудование и инвентарь</t>
        </is>
      </c>
      <c r="D19" s="323" t="n">
        <v>0</v>
      </c>
    </row>
    <row r="20">
      <c r="B20" s="233" t="inlineStr">
        <is>
          <t>6.3</t>
        </is>
      </c>
      <c r="C20" s="339" t="inlineStr">
        <is>
          <t>пусконаладочные работы</t>
        </is>
      </c>
      <c r="D20" s="323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3">
        <f>D18*0.039+(D18*0.039+D18)*0.021</f>
        <v/>
      </c>
    </row>
    <row r="22">
      <c r="B22" s="362" t="n">
        <v>7</v>
      </c>
      <c r="C22" s="232" t="inlineStr">
        <is>
          <t>Сопоставимый уровень цен</t>
        </is>
      </c>
      <c r="D22" s="324" t="inlineStr">
        <is>
          <t>2 кв. 2018 г.</t>
        </is>
      </c>
      <c r="E22" s="230" t="n"/>
    </row>
    <row r="23" ht="78.75" customHeight="1" s="325">
      <c r="B23" s="362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3">
        <f>D17</f>
        <v/>
      </c>
      <c r="E23" s="255" t="n"/>
    </row>
    <row r="24" ht="31.5" customHeight="1" s="325">
      <c r="B24" s="362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3">
        <f>D23/D15</f>
        <v/>
      </c>
      <c r="E24" s="230" t="n"/>
    </row>
    <row r="25">
      <c r="B25" s="362" t="n">
        <v>10</v>
      </c>
      <c r="C25" s="339" t="inlineStr">
        <is>
          <t>Примечание</t>
        </is>
      </c>
      <c r="D25" s="362" t="n"/>
    </row>
    <row r="26">
      <c r="B26" s="228" t="n"/>
      <c r="C26" s="227" t="n"/>
      <c r="D26" s="227" t="n"/>
    </row>
    <row r="27" ht="37.5" customHeight="1" s="325">
      <c r="B27" s="320" t="n"/>
    </row>
    <row r="28">
      <c r="B28" s="327" t="inlineStr">
        <is>
          <t>Составил ______________________    А.Р. Маркова</t>
        </is>
      </c>
    </row>
    <row r="29">
      <c r="B29" s="320" t="inlineStr">
        <is>
          <t xml:space="preserve">                         (подпись, инициалы, фамилия)</t>
        </is>
      </c>
    </row>
    <row r="31">
      <c r="B31" s="327" t="inlineStr">
        <is>
          <t>Проверил ______________________        А.В. Костянецкая</t>
        </is>
      </c>
    </row>
    <row r="32">
      <c r="B32" s="320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L22"/>
  <sheetViews>
    <sheetView view="pageBreakPreview" zoomScaleNormal="70" workbookViewId="0">
      <selection activeCell="E20" sqref="E20"/>
    </sheetView>
  </sheetViews>
  <sheetFormatPr baseColWidth="8" defaultColWidth="9.140625" defaultRowHeight="15.75"/>
  <cols>
    <col width="5.5703125" customWidth="1" style="327" min="1" max="1"/>
    <col width="9.140625" customWidth="1" style="327" min="2" max="2"/>
    <col width="35.28515625" customWidth="1" style="327" min="3" max="3"/>
    <col width="13.85546875" customWidth="1" style="327" min="4" max="4"/>
    <col width="24.85546875" customWidth="1" style="327" min="5" max="5"/>
    <col width="15.5703125" customWidth="1" style="327" min="6" max="6"/>
    <col width="14.85546875" customWidth="1" style="327" min="7" max="7"/>
    <col width="16.7109375" customWidth="1" style="327" min="8" max="8"/>
    <col width="13" customWidth="1" style="327" min="9" max="10"/>
    <col width="18" customWidth="1" style="327" min="11" max="11"/>
    <col width="14.28515625" customWidth="1" style="327" min="12" max="12"/>
  </cols>
  <sheetData>
    <row r="3">
      <c r="B3" s="357" t="inlineStr">
        <is>
          <t>Приложение № 2</t>
        </is>
      </c>
      <c r="K3" s="320" t="n"/>
    </row>
    <row r="4">
      <c r="B4" s="358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5">
      <c r="B6" s="359">
        <f>'Прил.1 Сравнит табл'!B7:D7</f>
        <v/>
      </c>
    </row>
    <row r="7">
      <c r="B7" s="359">
        <f>'Прил.1 Сравнит табл'!B9:D9</f>
        <v/>
      </c>
    </row>
    <row r="8" ht="18.75" customHeight="1" s="325">
      <c r="B8" s="257" t="n"/>
    </row>
    <row r="9" ht="15.75" customHeight="1" s="325">
      <c r="B9" s="362" t="inlineStr">
        <is>
          <t>№ п/п</t>
        </is>
      </c>
      <c r="C9" s="36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2" t="inlineStr">
        <is>
          <t>Объект-представитель 1</t>
        </is>
      </c>
      <c r="E9" s="440" t="n"/>
      <c r="F9" s="440" t="n"/>
      <c r="G9" s="440" t="n"/>
      <c r="H9" s="440" t="n"/>
      <c r="I9" s="440" t="n"/>
      <c r="J9" s="441" t="n"/>
      <c r="K9" s="327" t="n"/>
      <c r="L9" s="327" t="n"/>
    </row>
    <row r="10" ht="15.75" customHeight="1" s="325">
      <c r="B10" s="442" t="n"/>
      <c r="C10" s="442" t="n"/>
      <c r="D10" s="362" t="inlineStr">
        <is>
          <t>Номер сметы</t>
        </is>
      </c>
      <c r="E10" s="362" t="inlineStr">
        <is>
          <t>Наименование сметы</t>
        </is>
      </c>
      <c r="F10" s="362" t="inlineStr">
        <is>
          <t>Сметная стоимость в уровне цен 2 кв. 2018 г., тыс. руб.</t>
        </is>
      </c>
      <c r="G10" s="440" t="n"/>
      <c r="H10" s="440" t="n"/>
      <c r="I10" s="440" t="n"/>
      <c r="J10" s="441" t="n"/>
      <c r="K10" s="327" t="n"/>
      <c r="L10" s="327" t="n"/>
    </row>
    <row r="11" ht="31.5" customHeight="1" s="325">
      <c r="B11" s="443" t="n"/>
      <c r="C11" s="443" t="n"/>
      <c r="D11" s="443" t="n"/>
      <c r="E11" s="443" t="n"/>
      <c r="F11" s="362" t="inlineStr">
        <is>
          <t>Строительные работы</t>
        </is>
      </c>
      <c r="G11" s="362" t="inlineStr">
        <is>
          <t>Монтажные работы</t>
        </is>
      </c>
      <c r="H11" s="362" t="inlineStr">
        <is>
          <t>Оборудование</t>
        </is>
      </c>
      <c r="I11" s="362" t="inlineStr">
        <is>
          <t>Прочее</t>
        </is>
      </c>
      <c r="J11" s="362" t="inlineStr">
        <is>
          <t>Всего</t>
        </is>
      </c>
      <c r="K11" s="327" t="n"/>
      <c r="L11" s="327" t="n"/>
    </row>
    <row r="12" ht="15" customHeight="1" s="325">
      <c r="B12" s="311" t="n">
        <v>1</v>
      </c>
      <c r="C12" s="344">
        <f>'Прил.1 Сравнит табл'!D16</f>
        <v/>
      </c>
      <c r="D12" s="313" t="inlineStr">
        <is>
          <t>02-08-01</t>
        </is>
      </c>
      <c r="E12" s="339" t="inlineStr">
        <is>
          <t>Заходы КЛ 220 кВ</t>
        </is>
      </c>
      <c r="F12" s="315" t="n"/>
      <c r="G12" s="315" t="n">
        <v>76177.2989892</v>
      </c>
      <c r="H12" s="315" t="n"/>
      <c r="I12" s="315" t="n"/>
      <c r="J12" s="316">
        <f>SUM(F12:I12)</f>
        <v/>
      </c>
      <c r="K12" s="317" t="n"/>
      <c r="L12" s="317" t="n"/>
    </row>
    <row r="13" ht="15" customHeight="1" s="325">
      <c r="B13" s="361" t="inlineStr">
        <is>
          <t>Всего по объекту:</t>
        </is>
      </c>
      <c r="C13" s="440" t="n"/>
      <c r="D13" s="440" t="n"/>
      <c r="E13" s="441" t="n"/>
      <c r="F13" s="319">
        <f>SUM(F12:F12)</f>
        <v/>
      </c>
      <c r="G13" s="319">
        <f>SUM(G12:G12)</f>
        <v/>
      </c>
      <c r="H13" s="319">
        <f>SUM(H12:H12)</f>
        <v/>
      </c>
      <c r="I13" s="319" t="n"/>
      <c r="J13" s="319">
        <f>SUM(F13:I13)</f>
        <v/>
      </c>
      <c r="K13" s="317" t="n"/>
      <c r="L13" s="317" t="n"/>
    </row>
    <row r="14" ht="15.75" customHeight="1" s="325">
      <c r="B14" s="361" t="inlineStr">
        <is>
          <t>Всего по объекту в сопоставимом уровне цен 2 кв. 2018 г. :</t>
        </is>
      </c>
      <c r="C14" s="440" t="n"/>
      <c r="D14" s="440" t="n"/>
      <c r="E14" s="441" t="n"/>
      <c r="F14" s="319">
        <f>F13</f>
        <v/>
      </c>
      <c r="G14" s="319">
        <f>G13</f>
        <v/>
      </c>
      <c r="H14" s="319">
        <f>H13</f>
        <v/>
      </c>
      <c r="I14" s="319">
        <f>'Прил.1 Сравнит табл'!D21</f>
        <v/>
      </c>
      <c r="J14" s="319">
        <f>SUM(F14:I14)</f>
        <v/>
      </c>
      <c r="K14" s="327" t="n"/>
      <c r="L14" s="317" t="n"/>
    </row>
    <row r="15" ht="15" customHeight="1" s="325"/>
    <row r="16" ht="15" customHeight="1" s="325"/>
    <row r="17" ht="15" customHeight="1" s="325"/>
    <row r="18" ht="15" customHeight="1" s="325">
      <c r="C18" s="304" t="inlineStr">
        <is>
          <t>Составил ______________________     А.Р. Маркова</t>
        </is>
      </c>
      <c r="D18" s="305" t="n"/>
      <c r="E18" s="305" t="n"/>
    </row>
    <row r="19" ht="15" customHeight="1" s="325">
      <c r="C19" s="307" t="inlineStr">
        <is>
          <t xml:space="preserve">                         (подпись, инициалы, фамилия)</t>
        </is>
      </c>
      <c r="D19" s="305" t="n"/>
      <c r="E19" s="305" t="n"/>
    </row>
    <row r="20" ht="15" customHeight="1" s="325">
      <c r="C20" s="304" t="n"/>
      <c r="D20" s="305" t="n"/>
      <c r="E20" s="305" t="n"/>
    </row>
    <row r="21" ht="15" customHeight="1" s="325">
      <c r="C21" s="304" t="inlineStr">
        <is>
          <t>Проверил ______________________        А.В. Костянецкая</t>
        </is>
      </c>
      <c r="D21" s="305" t="n"/>
      <c r="E21" s="305" t="n"/>
    </row>
    <row r="22" ht="15" customHeight="1" s="325">
      <c r="C22" s="307" t="inlineStr">
        <is>
          <t xml:space="preserve">                        (подпись, инициалы, фамилия)</t>
        </is>
      </c>
      <c r="D22" s="305" t="n"/>
      <c r="E22" s="305" t="n"/>
    </row>
    <row r="23" ht="15" customHeight="1" s="325"/>
    <row r="24" ht="15" customHeight="1" s="325"/>
    <row r="25" ht="15" customHeight="1" s="325"/>
    <row r="26" ht="15" customHeight="1" s="325"/>
    <row r="27" ht="15" customHeight="1" s="325"/>
    <row r="28" ht="15" customHeight="1" s="325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36"/>
  <sheetViews>
    <sheetView view="pageBreakPreview" zoomScale="70" zoomScaleSheetLayoutView="70" workbookViewId="0">
      <selection activeCell="F31" sqref="F31"/>
    </sheetView>
  </sheetViews>
  <sheetFormatPr baseColWidth="8" defaultColWidth="9.140625" defaultRowHeight="15.75"/>
  <cols>
    <col width="9.140625" customWidth="1" style="327" min="1" max="1"/>
    <col width="12.5703125" customWidth="1" style="327" min="2" max="2"/>
    <col width="22.42578125" customWidth="1" style="327" min="3" max="3"/>
    <col width="49.7109375" customWidth="1" style="327" min="4" max="4"/>
    <col width="10.140625" customWidth="1" style="327" min="5" max="5"/>
    <col width="20.7109375" customWidth="1" style="327" min="6" max="6"/>
    <col width="20" customWidth="1" style="327" min="7" max="7"/>
    <col width="16.7109375" customWidth="1" style="327" min="8" max="8"/>
    <col width="9.140625" customWidth="1" style="327" min="9" max="10"/>
    <col width="15" customWidth="1" style="327" min="11" max="11"/>
    <col width="9.140625" customWidth="1" style="327" min="12" max="12"/>
  </cols>
  <sheetData>
    <row r="2" s="325">
      <c r="A2" s="327" t="n"/>
      <c r="B2" s="327" t="n"/>
      <c r="C2" s="327" t="n"/>
      <c r="D2" s="327" t="n"/>
      <c r="E2" s="327" t="n"/>
      <c r="F2" s="327" t="n"/>
      <c r="G2" s="327" t="n"/>
      <c r="H2" s="327" t="n"/>
      <c r="I2" s="327" t="n"/>
      <c r="J2" s="327" t="n"/>
      <c r="K2" s="327" t="n"/>
      <c r="L2" s="327" t="n"/>
    </row>
    <row r="3">
      <c r="A3" s="357" t="inlineStr">
        <is>
          <t xml:space="preserve">Приложение № 3 </t>
        </is>
      </c>
    </row>
    <row r="4">
      <c r="A4" s="358" t="inlineStr">
        <is>
          <t>Объектная ресурсная ведомость</t>
        </is>
      </c>
    </row>
    <row r="5" ht="18.75" customHeight="1" s="325">
      <c r="A5" s="265" t="n"/>
      <c r="B5" s="265" t="n"/>
      <c r="C5" s="368" t="n"/>
    </row>
    <row r="6">
      <c r="A6" s="359" t="n"/>
    </row>
    <row r="7">
      <c r="A7" s="367" t="inlineStr">
        <is>
          <t>Наименование разрабатываемого показателя УНЦ -  КЛ 220 кВ (с медной жилой) сечение жилы 1600 мм2</t>
        </is>
      </c>
    </row>
    <row r="8">
      <c r="A8" s="367" t="n"/>
      <c r="B8" s="367" t="n"/>
      <c r="C8" s="367" t="n"/>
      <c r="D8" s="367" t="n"/>
      <c r="E8" s="367" t="n"/>
      <c r="F8" s="367" t="n"/>
      <c r="G8" s="367" t="n"/>
      <c r="H8" s="367" t="n"/>
    </row>
    <row r="9" ht="38.25" customHeight="1" s="325">
      <c r="A9" s="362" t="inlineStr">
        <is>
          <t>п/п</t>
        </is>
      </c>
      <c r="B9" s="362" t="inlineStr">
        <is>
          <t>№ЛСР</t>
        </is>
      </c>
      <c r="C9" s="362" t="inlineStr">
        <is>
          <t>Код ресурса</t>
        </is>
      </c>
      <c r="D9" s="362" t="inlineStr">
        <is>
          <t>Наименование ресурса</t>
        </is>
      </c>
      <c r="E9" s="362" t="inlineStr">
        <is>
          <t>Ед. изм.</t>
        </is>
      </c>
      <c r="F9" s="362" t="inlineStr">
        <is>
          <t>Кол-во единиц по данным объекта-представителя</t>
        </is>
      </c>
      <c r="G9" s="362" t="inlineStr">
        <is>
          <t>Сметная стоимость в ценах на 01.01.2000 (руб.)</t>
        </is>
      </c>
      <c r="H9" s="441" t="n"/>
    </row>
    <row r="10" ht="40.5" customHeight="1" s="325">
      <c r="A10" s="443" t="n"/>
      <c r="B10" s="443" t="n"/>
      <c r="C10" s="443" t="n"/>
      <c r="D10" s="443" t="n"/>
      <c r="E10" s="443" t="n"/>
      <c r="F10" s="443" t="n"/>
      <c r="G10" s="362" t="inlineStr">
        <is>
          <t>на ед.изм.</t>
        </is>
      </c>
      <c r="H10" s="362" t="inlineStr">
        <is>
          <t>общая</t>
        </is>
      </c>
    </row>
    <row r="11">
      <c r="A11" s="344" t="n">
        <v>1</v>
      </c>
      <c r="B11" s="344" t="n"/>
      <c r="C11" s="344" t="n">
        <v>2</v>
      </c>
      <c r="D11" s="344" t="inlineStr">
        <is>
          <t>З</t>
        </is>
      </c>
      <c r="E11" s="344" t="n">
        <v>4</v>
      </c>
      <c r="F11" s="344" t="n">
        <v>5</v>
      </c>
      <c r="G11" s="344" t="n">
        <v>6</v>
      </c>
      <c r="H11" s="344" t="n">
        <v>7</v>
      </c>
    </row>
    <row r="12" customFormat="1" s="298">
      <c r="A12" s="364" t="inlineStr">
        <is>
          <t>Затраты труда рабочих</t>
        </is>
      </c>
      <c r="B12" s="440" t="n"/>
      <c r="C12" s="440" t="n"/>
      <c r="D12" s="440" t="n"/>
      <c r="E12" s="441" t="n"/>
      <c r="F12" s="444">
        <f>SUM(F13:F13)</f>
        <v/>
      </c>
      <c r="G12" s="262" t="n"/>
      <c r="H12" s="445">
        <f>SUM(H13:H13)</f>
        <v/>
      </c>
    </row>
    <row r="13">
      <c r="A13" s="394" t="n">
        <v>1</v>
      </c>
      <c r="B13" s="241" t="n"/>
      <c r="C13" s="269" t="inlineStr">
        <is>
          <t>1-4-0</t>
        </is>
      </c>
      <c r="D13" s="273" t="inlineStr">
        <is>
          <t>Затраты труда рабочих (средний разряд работы 4)</t>
        </is>
      </c>
      <c r="E13" s="394" t="inlineStr">
        <is>
          <t>чел.-ч</t>
        </is>
      </c>
      <c r="F13" s="373" t="n">
        <v>1028.5</v>
      </c>
      <c r="G13" s="446" t="n">
        <v>9.619999999999999</v>
      </c>
      <c r="H13" s="284">
        <f>ROUND(F13*G13,2)</f>
        <v/>
      </c>
      <c r="M13" s="447" t="n"/>
    </row>
    <row r="14">
      <c r="A14" s="363" t="inlineStr">
        <is>
          <t>Затраты труда машинистов</t>
        </is>
      </c>
      <c r="B14" s="440" t="n"/>
      <c r="C14" s="440" t="n"/>
      <c r="D14" s="440" t="n"/>
      <c r="E14" s="441" t="n"/>
      <c r="F14" s="364" t="n"/>
      <c r="G14" s="239" t="n"/>
      <c r="H14" s="445">
        <f>H15</f>
        <v/>
      </c>
    </row>
    <row r="15">
      <c r="A15" s="394" t="n">
        <v>2</v>
      </c>
      <c r="B15" s="365" t="n"/>
      <c r="C15" s="272" t="n">
        <v>2</v>
      </c>
      <c r="D15" s="273" t="inlineStr">
        <is>
          <t>Затраты труда машинистов</t>
        </is>
      </c>
      <c r="E15" s="394" t="inlineStr">
        <is>
          <t>чел.-ч</t>
        </is>
      </c>
      <c r="F15" s="394" t="n">
        <v>75.5</v>
      </c>
      <c r="G15" s="258" t="n"/>
      <c r="H15" s="448" t="n">
        <v>887.7</v>
      </c>
    </row>
    <row r="16" customFormat="1" s="298">
      <c r="A16" s="364" t="inlineStr">
        <is>
          <t>Машины и механизмы</t>
        </is>
      </c>
      <c r="B16" s="440" t="n"/>
      <c r="C16" s="440" t="n"/>
      <c r="D16" s="440" t="n"/>
      <c r="E16" s="441" t="n"/>
      <c r="F16" s="364" t="n"/>
      <c r="G16" s="239" t="n"/>
      <c r="H16" s="445">
        <f>SUM(H17:H26)</f>
        <v/>
      </c>
    </row>
    <row r="17" ht="25.5" customHeight="1" s="325">
      <c r="A17" s="394" t="n">
        <v>3</v>
      </c>
      <c r="B17" s="365" t="n"/>
      <c r="C17" s="272" t="inlineStr">
        <is>
          <t>91.05.05-018</t>
        </is>
      </c>
      <c r="D17" s="273" t="inlineStr">
        <is>
          <t>Краны на автомобильном ходу, грузоподъемность 63 т</t>
        </is>
      </c>
      <c r="E17" s="394" t="inlineStr">
        <is>
          <t>маш.час</t>
        </is>
      </c>
      <c r="F17" s="394" t="n">
        <v>14.5</v>
      </c>
      <c r="G17" s="275" t="n">
        <v>823.23</v>
      </c>
      <c r="H17" s="284">
        <f>ROUND(F17*G17,2)</f>
        <v/>
      </c>
      <c r="I17" s="289" t="n"/>
      <c r="J17" s="289" t="n"/>
      <c r="L17" s="289" t="n"/>
    </row>
    <row r="18" ht="25.5" customFormat="1" customHeight="1" s="298">
      <c r="A18" s="394" t="n">
        <v>4</v>
      </c>
      <c r="B18" s="365" t="n"/>
      <c r="C18" s="272" t="inlineStr">
        <is>
          <t>91.06.03-012</t>
        </is>
      </c>
      <c r="D18" s="273" t="inlineStr">
        <is>
          <t>Лебедки-прицепы гидравлические для протяжки кабеля, тяговое усилие 10 т</t>
        </is>
      </c>
      <c r="E18" s="394" t="inlineStr">
        <is>
          <t>маш.час</t>
        </is>
      </c>
      <c r="F18" s="394" t="n">
        <v>25</v>
      </c>
      <c r="G18" s="275" t="n">
        <v>244.95</v>
      </c>
      <c r="H18" s="284">
        <f>ROUND(F18*G18,2)</f>
        <v/>
      </c>
      <c r="I18" s="289" t="n"/>
      <c r="J18" s="289" t="n"/>
      <c r="K18" s="290" t="n"/>
      <c r="L18" s="289" t="n"/>
    </row>
    <row r="19">
      <c r="A19" s="394" t="n">
        <v>5</v>
      </c>
      <c r="B19" s="365" t="n"/>
      <c r="C19" s="272" t="inlineStr">
        <is>
          <t>91.14.04-003</t>
        </is>
      </c>
      <c r="D19" s="273" t="inlineStr">
        <is>
          <t>Тягачи седельные, грузоподъемность 30 т</t>
        </is>
      </c>
      <c r="E19" s="394" t="inlineStr">
        <is>
          <t>маш.час</t>
        </is>
      </c>
      <c r="F19" s="394" t="n">
        <v>12</v>
      </c>
      <c r="G19" s="275" t="n">
        <v>120.31</v>
      </c>
      <c r="H19" s="284">
        <f>ROUND(F19*G19,2)</f>
        <v/>
      </c>
      <c r="I19" s="289" t="n"/>
      <c r="J19" s="289" t="n"/>
      <c r="L19" s="289" t="n"/>
    </row>
    <row r="20" ht="25.5" customHeight="1" s="325">
      <c r="A20" s="394" t="n">
        <v>6</v>
      </c>
      <c r="B20" s="365" t="n"/>
      <c r="C20" s="272" t="inlineStr">
        <is>
          <t>91.05.13-001</t>
        </is>
      </c>
      <c r="D20" s="273" t="inlineStr">
        <is>
          <t>Автомобили бортовые, грузоподъемность до 6 т, с краном-манипулятором-4,0 т</t>
        </is>
      </c>
      <c r="E20" s="394" t="inlineStr">
        <is>
          <t>маш.час</t>
        </is>
      </c>
      <c r="F20" s="394" t="n">
        <v>1.5</v>
      </c>
      <c r="G20" s="275" t="n">
        <v>288.03</v>
      </c>
      <c r="H20" s="284">
        <f>ROUND(F20*G20,2)</f>
        <v/>
      </c>
      <c r="I20" s="289" t="n"/>
      <c r="J20" s="289" t="n"/>
      <c r="L20" s="289" t="n"/>
    </row>
    <row r="21" ht="25.5" customHeight="1" s="325">
      <c r="A21" s="394" t="n">
        <v>7</v>
      </c>
      <c r="B21" s="365" t="n"/>
      <c r="C21" s="272" t="inlineStr">
        <is>
          <t>91.11.01-021</t>
        </is>
      </c>
      <c r="D21" s="273" t="inlineStr">
        <is>
          <t>Устройства подталкивающие для протяжки кабеля, тяговое усилие 800 кг</t>
        </is>
      </c>
      <c r="E21" s="394" t="inlineStr">
        <is>
          <t>маш.час</t>
        </is>
      </c>
      <c r="F21" s="394" t="n">
        <v>16.8</v>
      </c>
      <c r="G21" s="275" t="n">
        <v>25.37</v>
      </c>
      <c r="H21" s="284">
        <f>ROUND(F21*G21,2)</f>
        <v/>
      </c>
      <c r="I21" s="289" t="n"/>
      <c r="J21" s="289" t="n"/>
      <c r="L21" s="289" t="n"/>
    </row>
    <row r="22">
      <c r="A22" s="394" t="n">
        <v>8</v>
      </c>
      <c r="B22" s="365" t="n"/>
      <c r="C22" s="272" t="inlineStr">
        <is>
          <t>91.14.05-002</t>
        </is>
      </c>
      <c r="D22" s="273" t="inlineStr">
        <is>
          <t>Полуприцепы-тяжеловозы, грузоподъемность 40 т</t>
        </is>
      </c>
      <c r="E22" s="394" t="inlineStr">
        <is>
          <t>маш.час</t>
        </is>
      </c>
      <c r="F22" s="394" t="n">
        <v>12</v>
      </c>
      <c r="G22" s="275" t="n">
        <v>28.65</v>
      </c>
      <c r="H22" s="284">
        <f>ROUND(F22*G22,2)</f>
        <v/>
      </c>
      <c r="I22" s="289" t="n"/>
      <c r="J22" s="289" t="n"/>
      <c r="L22" s="289" t="n"/>
    </row>
    <row r="23">
      <c r="A23" s="394" t="n">
        <v>9</v>
      </c>
      <c r="B23" s="365" t="n"/>
      <c r="C23" s="272" t="inlineStr">
        <is>
          <t>91.16.01-002</t>
        </is>
      </c>
      <c r="D23" s="273" t="inlineStr">
        <is>
          <t>Электростанции передвижные, мощность 4 кВт</t>
        </is>
      </c>
      <c r="E23" s="394" t="inlineStr">
        <is>
          <t>маш.час</t>
        </is>
      </c>
      <c r="F23" s="394" t="n">
        <v>8</v>
      </c>
      <c r="G23" s="275" t="n">
        <v>27.11</v>
      </c>
      <c r="H23" s="284">
        <f>ROUND(F23*G23,2)</f>
        <v/>
      </c>
      <c r="I23" s="289" t="n"/>
      <c r="J23" s="289" t="n"/>
    </row>
    <row r="24">
      <c r="A24" s="394" t="n">
        <v>10</v>
      </c>
      <c r="B24" s="365" t="n"/>
      <c r="C24" s="272" t="inlineStr">
        <is>
          <t>91.17.04-091</t>
        </is>
      </c>
      <c r="D24" s="273" t="inlineStr">
        <is>
          <t>Горелки газовые инжекторные</t>
        </is>
      </c>
      <c r="E24" s="394" t="inlineStr">
        <is>
          <t>маш.час</t>
        </is>
      </c>
      <c r="F24" s="394" t="n">
        <v>8</v>
      </c>
      <c r="G24" s="275" t="n">
        <v>13.5</v>
      </c>
      <c r="H24" s="284">
        <f>ROUND(F24*G24,2)</f>
        <v/>
      </c>
      <c r="J24" s="289" t="n"/>
    </row>
    <row r="25">
      <c r="A25" s="394" t="n">
        <v>11</v>
      </c>
      <c r="B25" s="365" t="n"/>
      <c r="C25" s="272" t="inlineStr">
        <is>
          <t>91.21.15-022</t>
        </is>
      </c>
      <c r="D25" s="273" t="inlineStr">
        <is>
          <t>Пилы ленточные с поворотной пилорамой</t>
        </is>
      </c>
      <c r="E25" s="394" t="inlineStr">
        <is>
          <t>маш.час</t>
        </is>
      </c>
      <c r="F25" s="394" t="n">
        <v>8</v>
      </c>
      <c r="G25" s="275" t="n">
        <v>3.31</v>
      </c>
      <c r="H25" s="284">
        <f>ROUND(F25*G25,2)</f>
        <v/>
      </c>
      <c r="J25" s="289" t="n"/>
    </row>
    <row r="26">
      <c r="A26" s="394" t="n">
        <v>12</v>
      </c>
      <c r="B26" s="365" t="n"/>
      <c r="C26" s="272" t="inlineStr">
        <is>
          <t>91.06.01-002</t>
        </is>
      </c>
      <c r="D26" s="273" t="inlineStr">
        <is>
          <t>Домкраты гидравлические, грузоподъемность 6,3-25 т</t>
        </is>
      </c>
      <c r="E26" s="394" t="inlineStr">
        <is>
          <t>маш.час</t>
        </is>
      </c>
      <c r="F26" s="394" t="n">
        <v>40.8</v>
      </c>
      <c r="G26" s="275" t="n">
        <v>0.48</v>
      </c>
      <c r="H26" s="284">
        <f>ROUND(F26*G26,2)</f>
        <v/>
      </c>
      <c r="J26" s="289" t="n"/>
    </row>
    <row r="27">
      <c r="A27" s="364" t="inlineStr">
        <is>
          <t>Материалы</t>
        </is>
      </c>
      <c r="B27" s="440" t="n"/>
      <c r="C27" s="440" t="n"/>
      <c r="D27" s="440" t="n"/>
      <c r="E27" s="441" t="n"/>
      <c r="F27" s="364" t="n"/>
      <c r="G27" s="239" t="n"/>
      <c r="H27" s="445">
        <f>SUM(H28:H29)</f>
        <v/>
      </c>
    </row>
    <row r="28">
      <c r="A28" s="282" t="n">
        <v>13</v>
      </c>
      <c r="B28" s="282" t="n"/>
      <c r="C28" s="394" t="inlineStr">
        <is>
          <t>Прайс из СД ОП</t>
        </is>
      </c>
      <c r="D28" s="279" t="inlineStr">
        <is>
          <t>Кабель медный 220кВ 1х1600</t>
        </is>
      </c>
      <c r="E28" s="394" t="inlineStr">
        <is>
          <t>км</t>
        </is>
      </c>
      <c r="F28" s="394" t="n">
        <v>3.3</v>
      </c>
      <c r="G28" s="279" t="n">
        <v>4152565.03</v>
      </c>
      <c r="H28" s="284">
        <f>ROUND(F28*G28,2)</f>
        <v/>
      </c>
    </row>
    <row r="29">
      <c r="A29" s="282" t="n">
        <v>14</v>
      </c>
      <c r="B29" s="365" t="n"/>
      <c r="C29" s="272" t="inlineStr">
        <is>
          <t>01.3.02.09-0022</t>
        </is>
      </c>
      <c r="D29" s="273" t="inlineStr">
        <is>
          <t>Пропан-бутан смесь техническая</t>
        </is>
      </c>
      <c r="E29" s="394" t="inlineStr">
        <is>
          <t>кг</t>
        </is>
      </c>
      <c r="F29" s="394" t="n">
        <v>3.56</v>
      </c>
      <c r="G29" s="258" t="n">
        <v>6.09</v>
      </c>
      <c r="H29" s="284">
        <f>ROUND(F29*G29,2)</f>
        <v/>
      </c>
      <c r="I29" s="291" t="n"/>
      <c r="J29" s="289" t="n"/>
      <c r="K29" s="289" t="n"/>
    </row>
    <row r="32">
      <c r="B32" s="327" t="inlineStr">
        <is>
          <t>Составил ______________________     А.Р. Маркова</t>
        </is>
      </c>
    </row>
    <row r="33">
      <c r="B33" s="320" t="inlineStr">
        <is>
          <t xml:space="preserve">                         (подпись, инициалы, фамилия)</t>
        </is>
      </c>
    </row>
    <row r="35">
      <c r="B35" s="327" t="inlineStr">
        <is>
          <t>Проверил ______________________        А.В. Костянецкая</t>
        </is>
      </c>
    </row>
    <row r="36">
      <c r="B36" s="320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3:H3"/>
    <mergeCell ref="C9:C10"/>
    <mergeCell ref="A12:E12"/>
    <mergeCell ref="D9:D10"/>
    <mergeCell ref="F9:F10"/>
    <mergeCell ref="A7:H7"/>
    <mergeCell ref="A9:A10"/>
    <mergeCell ref="A16:E16"/>
    <mergeCell ref="C5:H5"/>
    <mergeCell ref="E9:E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6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K50"/>
  <sheetViews>
    <sheetView view="pageBreakPreview" topLeftCell="A28" workbookViewId="0">
      <selection activeCell="D45" sqref="D45"/>
    </sheetView>
  </sheetViews>
  <sheetFormatPr baseColWidth="8" defaultColWidth="9.140625" defaultRowHeight="15"/>
  <cols>
    <col width="4.140625" customWidth="1" style="325" min="1" max="1"/>
    <col width="36.28515625" customWidth="1" style="325" min="2" max="2"/>
    <col width="18.85546875" customWidth="1" style="325" min="3" max="3"/>
    <col width="18.28515625" customWidth="1" style="325" min="4" max="4"/>
    <col width="18.85546875" customWidth="1" style="325" min="5" max="5"/>
    <col width="11.42578125" customWidth="1" style="325" min="6" max="6"/>
    <col width="9.140625" customWidth="1" style="325" min="7" max="10"/>
    <col width="13.5703125" customWidth="1" style="325" min="11" max="11"/>
    <col width="9.140625" customWidth="1" style="325" min="12" max="12"/>
  </cols>
  <sheetData>
    <row r="1">
      <c r="B1" s="304" t="n"/>
      <c r="C1" s="304" t="n"/>
      <c r="D1" s="304" t="n"/>
      <c r="E1" s="304" t="n"/>
    </row>
    <row r="2">
      <c r="B2" s="304" t="n"/>
      <c r="C2" s="304" t="n"/>
      <c r="D2" s="304" t="n"/>
      <c r="E2" s="389" t="inlineStr">
        <is>
          <t>Приложение № 4</t>
        </is>
      </c>
    </row>
    <row r="3">
      <c r="B3" s="304" t="n"/>
      <c r="C3" s="304" t="n"/>
      <c r="D3" s="304" t="n"/>
      <c r="E3" s="304" t="n"/>
    </row>
    <row r="4">
      <c r="B4" s="304" t="n"/>
      <c r="C4" s="304" t="n"/>
      <c r="D4" s="304" t="n"/>
      <c r="E4" s="304" t="n"/>
    </row>
    <row r="5">
      <c r="B5" s="347" t="inlineStr">
        <is>
          <t>Ресурсная модель</t>
        </is>
      </c>
    </row>
    <row r="6">
      <c r="B6" s="252" t="n"/>
      <c r="C6" s="304" t="n"/>
      <c r="D6" s="304" t="n"/>
      <c r="E6" s="304" t="n"/>
    </row>
    <row r="7" ht="25.5" customHeight="1" s="325">
      <c r="B7" s="356" t="inlineStr">
        <is>
          <t>Наименование разрабатываемого показателя УНЦ — КЛ 220 кВ (с медной жилой) сечение жилы 1600 мм2</t>
        </is>
      </c>
    </row>
    <row r="8">
      <c r="B8" s="369" t="inlineStr">
        <is>
          <t>Единица измерения  — 1 км</t>
        </is>
      </c>
    </row>
    <row r="9">
      <c r="B9" s="252" t="n"/>
      <c r="C9" s="304" t="n"/>
      <c r="D9" s="304" t="n"/>
      <c r="E9" s="304" t="n"/>
    </row>
    <row r="10" ht="51" customHeight="1" s="325">
      <c r="B10" s="373" t="inlineStr">
        <is>
          <t>Наименование</t>
        </is>
      </c>
      <c r="C10" s="373" t="inlineStr">
        <is>
          <t>Сметная стоимость в ценах на 01.01.2023
 (руб.)</t>
        </is>
      </c>
      <c r="D10" s="373" t="inlineStr">
        <is>
          <t>Удельный вес, 
(в СМР)</t>
        </is>
      </c>
      <c r="E10" s="373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ОБ'!J14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ОБ'!J30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ОБ'!J16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ОБ'!J41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ОБ'!J43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ОБ'!D47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ОБ'!D46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5">
      <c r="B25" s="245" t="inlineStr">
        <is>
          <t>ВСЕГО стоимость оборудования, в том числе</t>
        </is>
      </c>
      <c r="C25" s="246">
        <f>'Прил.5 Расчет СМР и ОБ'!J36</f>
        <v/>
      </c>
      <c r="D25" s="247" t="n"/>
      <c r="E25" s="247">
        <f>C25/$C$40</f>
        <v/>
      </c>
    </row>
    <row r="26" ht="25.5" customHeight="1" s="325">
      <c r="B26" s="245" t="inlineStr">
        <is>
          <t>стоимость оборудования технологического</t>
        </is>
      </c>
      <c r="C26" s="246">
        <f>'Прил.5 Расчет СМР и ОБ'!J37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5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5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25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7" t="n">
        <v>0</v>
      </c>
      <c r="D31" s="245" t="n"/>
      <c r="E31" s="247">
        <f>C31/$C$40</f>
        <v/>
      </c>
    </row>
    <row r="32" ht="25.5" customHeight="1" s="325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5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5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1" t="n"/>
    </row>
    <row r="35" ht="76.5" customHeight="1" s="325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5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25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5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ОБ'!E50</f>
        <v/>
      </c>
      <c r="D41" s="245" t="n"/>
      <c r="E41" s="245" t="n"/>
    </row>
    <row r="42">
      <c r="B42" s="244" t="n"/>
      <c r="C42" s="304" t="n"/>
      <c r="D42" s="304" t="n"/>
      <c r="E42" s="304" t="n"/>
    </row>
    <row r="43">
      <c r="B43" s="244" t="inlineStr">
        <is>
          <t>Составил ____________________________ А.Р. Маркова</t>
        </is>
      </c>
      <c r="C43" s="304" t="n"/>
      <c r="D43" s="304" t="n"/>
      <c r="E43" s="304" t="n"/>
    </row>
    <row r="44">
      <c r="B44" s="244" t="inlineStr">
        <is>
          <t xml:space="preserve">(должность, подпись, инициалы, фамилия) </t>
        </is>
      </c>
      <c r="C44" s="304" t="n"/>
      <c r="D44" s="304" t="n"/>
      <c r="E44" s="304" t="n"/>
    </row>
    <row r="45">
      <c r="B45" s="244" t="n"/>
      <c r="C45" s="304" t="n"/>
      <c r="D45" s="304" t="n"/>
      <c r="E45" s="304" t="n"/>
    </row>
    <row r="46">
      <c r="B46" s="244" t="inlineStr">
        <is>
          <t>Проверил ____________________________ А.В. Костянецкая</t>
        </is>
      </c>
      <c r="C46" s="304" t="n"/>
      <c r="D46" s="304" t="n"/>
      <c r="E46" s="304" t="n"/>
    </row>
    <row r="47">
      <c r="B47" s="369" t="inlineStr">
        <is>
          <t>(должность, подпись, инициалы, фамилия)</t>
        </is>
      </c>
      <c r="D47" s="304" t="n"/>
      <c r="E47" s="304" t="n"/>
    </row>
    <row r="49">
      <c r="B49" s="304" t="n"/>
      <c r="C49" s="304" t="n"/>
      <c r="D49" s="304" t="n"/>
      <c r="E49" s="304" t="n"/>
    </row>
    <row r="50">
      <c r="B50" s="304" t="n"/>
      <c r="C50" s="304" t="n"/>
      <c r="D50" s="304" t="n"/>
      <c r="E50" s="304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6"/>
  <sheetViews>
    <sheetView tabSelected="1" view="pageBreakPreview" zoomScale="85" zoomScaleSheetLayoutView="85" workbookViewId="0">
      <selection activeCell="P24" sqref="P24:P25"/>
    </sheetView>
  </sheetViews>
  <sheetFormatPr baseColWidth="8" defaultColWidth="9.140625" defaultRowHeight="15" outlineLevelRow="1"/>
  <cols>
    <col width="5.7109375" customWidth="1" style="305" min="1" max="1"/>
    <col width="22.5703125" customWidth="1" style="305" min="2" max="2"/>
    <col width="39.140625" customWidth="1" style="305" min="3" max="3"/>
    <col width="10.7109375" customWidth="1" style="305" min="4" max="4"/>
    <col width="12.7109375" customWidth="1" style="305" min="5" max="5"/>
    <col width="15" customWidth="1" style="305" min="6" max="6"/>
    <col width="13.42578125" customWidth="1" style="305" min="7" max="7"/>
    <col width="12.7109375" customWidth="1" style="305" min="8" max="8"/>
    <col width="13.85546875" customWidth="1" style="305" min="9" max="9"/>
    <col width="17.5703125" customWidth="1" style="305" min="10" max="10"/>
    <col width="10.85546875" customWidth="1" style="305" min="11" max="11"/>
    <col width="9.140625" customWidth="1" style="305" min="12" max="12"/>
    <col width="9.140625" customWidth="1" style="325" min="13" max="13"/>
  </cols>
  <sheetData>
    <row r="1" s="325">
      <c r="A1" s="305" t="n"/>
      <c r="B1" s="305" t="n"/>
      <c r="C1" s="305" t="n"/>
      <c r="D1" s="305" t="n"/>
      <c r="E1" s="305" t="n"/>
      <c r="F1" s="305" t="n"/>
      <c r="G1" s="305" t="n"/>
      <c r="H1" s="305" t="n"/>
      <c r="I1" s="305" t="n"/>
      <c r="J1" s="305" t="n"/>
      <c r="K1" s="305" t="n"/>
      <c r="L1" s="305" t="n"/>
      <c r="M1" s="305" t="n"/>
      <c r="N1" s="305" t="n"/>
    </row>
    <row r="2" ht="15.75" customHeight="1" s="325">
      <c r="A2" s="305" t="n"/>
      <c r="B2" s="305" t="n"/>
      <c r="C2" s="305" t="n"/>
      <c r="D2" s="305" t="n"/>
      <c r="E2" s="305" t="n"/>
      <c r="F2" s="305" t="n"/>
      <c r="G2" s="305" t="n"/>
      <c r="H2" s="370" t="inlineStr">
        <is>
          <t>Приложение №5</t>
        </is>
      </c>
      <c r="K2" s="305" t="n"/>
      <c r="L2" s="305" t="n"/>
      <c r="M2" s="305" t="n"/>
      <c r="N2" s="305" t="n"/>
    </row>
    <row r="3" s="325">
      <c r="A3" s="305" t="n"/>
      <c r="B3" s="305" t="n"/>
      <c r="C3" s="305" t="n"/>
      <c r="D3" s="305" t="n"/>
      <c r="E3" s="305" t="n"/>
      <c r="F3" s="305" t="n"/>
      <c r="G3" s="305" t="n"/>
      <c r="H3" s="305" t="n"/>
      <c r="I3" s="305" t="n"/>
      <c r="J3" s="305" t="n"/>
      <c r="K3" s="305" t="n"/>
      <c r="L3" s="305" t="n"/>
      <c r="M3" s="305" t="n"/>
      <c r="N3" s="305" t="n"/>
    </row>
    <row r="4" ht="12.75" customFormat="1" customHeight="1" s="304">
      <c r="A4" s="347" t="inlineStr">
        <is>
          <t>Расчет стоимости СМР и оборудования</t>
        </is>
      </c>
    </row>
    <row r="5" ht="12.75" customFormat="1" customHeight="1" s="304">
      <c r="A5" s="347" t="n"/>
      <c r="B5" s="347" t="n"/>
      <c r="C5" s="397" t="n"/>
      <c r="D5" s="347" t="n"/>
      <c r="E5" s="347" t="n"/>
      <c r="F5" s="347" t="n"/>
      <c r="G5" s="347" t="n"/>
      <c r="H5" s="347" t="n"/>
      <c r="I5" s="347" t="n"/>
      <c r="J5" s="347" t="n"/>
    </row>
    <row r="6" ht="12.75" customFormat="1" customHeight="1" s="304">
      <c r="A6" s="213" t="inlineStr">
        <is>
          <t>Наименование разрабатываемого показателя УНЦ</t>
        </is>
      </c>
      <c r="B6" s="212" t="n"/>
      <c r="C6" s="212" t="n"/>
      <c r="D6" s="376" t="inlineStr">
        <is>
          <t>КЛ 220 кВ (с медной жилой) сечение жилы 1600 мм2</t>
        </is>
      </c>
    </row>
    <row r="7" ht="12.75" customFormat="1" customHeight="1" s="304">
      <c r="A7" s="350" t="inlineStr">
        <is>
          <t>Единица измерения  — 1 км</t>
        </is>
      </c>
      <c r="I7" s="356" t="n"/>
      <c r="J7" s="356" t="n"/>
    </row>
    <row r="8" ht="13.5" customFormat="1" customHeight="1" s="304">
      <c r="A8" s="350" t="n"/>
    </row>
    <row r="9" ht="27" customHeight="1" s="325">
      <c r="A9" s="373" t="inlineStr">
        <is>
          <t>№ пп.</t>
        </is>
      </c>
      <c r="B9" s="373" t="inlineStr">
        <is>
          <t>Код ресурса</t>
        </is>
      </c>
      <c r="C9" s="373" t="inlineStr">
        <is>
          <t>Наименование</t>
        </is>
      </c>
      <c r="D9" s="373" t="inlineStr">
        <is>
          <t>Ед. изм.</t>
        </is>
      </c>
      <c r="E9" s="373" t="inlineStr">
        <is>
          <t>Кол-во единиц по проектным данным</t>
        </is>
      </c>
      <c r="F9" s="373" t="inlineStr">
        <is>
          <t>Сметная стоимость в ценах на 01.01.2000 (руб.)</t>
        </is>
      </c>
      <c r="G9" s="441" t="n"/>
      <c r="H9" s="373" t="inlineStr">
        <is>
          <t>Удельный вес, %</t>
        </is>
      </c>
      <c r="I9" s="373" t="inlineStr">
        <is>
          <t>Сметная стоимость в ценах на 01.01.2023 (руб.)</t>
        </is>
      </c>
      <c r="J9" s="441" t="n"/>
      <c r="K9" s="305" t="n"/>
      <c r="L9" s="305" t="n"/>
      <c r="M9" s="305" t="n"/>
      <c r="N9" s="305" t="n"/>
    </row>
    <row r="10" ht="28.5" customHeight="1" s="325">
      <c r="A10" s="443" t="n"/>
      <c r="B10" s="443" t="n"/>
      <c r="C10" s="443" t="n"/>
      <c r="D10" s="443" t="n"/>
      <c r="E10" s="443" t="n"/>
      <c r="F10" s="373" t="inlineStr">
        <is>
          <t>на ед. изм.</t>
        </is>
      </c>
      <c r="G10" s="373" t="inlineStr">
        <is>
          <t>общая</t>
        </is>
      </c>
      <c r="H10" s="443" t="n"/>
      <c r="I10" s="373" t="inlineStr">
        <is>
          <t>на ед. изм.</t>
        </is>
      </c>
      <c r="J10" s="373" t="inlineStr">
        <is>
          <t>общая</t>
        </is>
      </c>
      <c r="K10" s="305" t="n"/>
      <c r="L10" s="305" t="n"/>
      <c r="M10" s="305" t="n"/>
      <c r="N10" s="305" t="n"/>
    </row>
    <row r="11" s="325">
      <c r="A11" s="373" t="n">
        <v>1</v>
      </c>
      <c r="B11" s="373" t="n">
        <v>2</v>
      </c>
      <c r="C11" s="373" t="n">
        <v>3</v>
      </c>
      <c r="D11" s="373" t="n">
        <v>4</v>
      </c>
      <c r="E11" s="373" t="n">
        <v>5</v>
      </c>
      <c r="F11" s="373" t="n">
        <v>6</v>
      </c>
      <c r="G11" s="373" t="n">
        <v>7</v>
      </c>
      <c r="H11" s="373" t="n">
        <v>8</v>
      </c>
      <c r="I11" s="374" t="n">
        <v>9</v>
      </c>
      <c r="J11" s="374" t="n">
        <v>10</v>
      </c>
      <c r="K11" s="305" t="n"/>
      <c r="L11" s="305" t="n"/>
      <c r="M11" s="305" t="n"/>
      <c r="N11" s="305" t="n"/>
    </row>
    <row r="12">
      <c r="A12" s="373" t="n"/>
      <c r="B12" s="363" t="inlineStr">
        <is>
          <t>Затраты труда рабочих-строителей</t>
        </is>
      </c>
      <c r="C12" s="440" t="n"/>
      <c r="D12" s="440" t="n"/>
      <c r="E12" s="440" t="n"/>
      <c r="F12" s="440" t="n"/>
      <c r="G12" s="440" t="n"/>
      <c r="H12" s="441" t="n"/>
      <c r="I12" s="200" t="n"/>
      <c r="J12" s="200" t="n"/>
    </row>
    <row r="13" ht="25.5" customHeight="1" s="325">
      <c r="A13" s="373" t="n">
        <v>1</v>
      </c>
      <c r="B13" s="269" t="inlineStr">
        <is>
          <t>1-4-0</t>
        </is>
      </c>
      <c r="C13" s="381" t="inlineStr">
        <is>
          <t>Затраты труда рабочих-строителей среднего разряда (4,0)</t>
        </is>
      </c>
      <c r="D13" s="373" t="inlineStr">
        <is>
          <t>чел.-ч.</t>
        </is>
      </c>
      <c r="E13" s="449">
        <f>G13/F13</f>
        <v/>
      </c>
      <c r="F13" s="207" t="n">
        <v>9.619999999999999</v>
      </c>
      <c r="G13" s="207">
        <f>Прил.3!H12</f>
        <v/>
      </c>
      <c r="H13" s="209">
        <f>G13/G14</f>
        <v/>
      </c>
      <c r="I13" s="207">
        <f>ФОТр.тек.!E13</f>
        <v/>
      </c>
      <c r="J13" s="207">
        <f>ROUND(I13*E13,2)</f>
        <v/>
      </c>
    </row>
    <row r="14" ht="25.5" customFormat="1" customHeight="1" s="305">
      <c r="A14" s="373" t="n"/>
      <c r="B14" s="373" t="n"/>
      <c r="C14" s="363" t="inlineStr">
        <is>
          <t>Итого по разделу "Затраты труда рабочих-строителей"</t>
        </is>
      </c>
      <c r="D14" s="373" t="inlineStr">
        <is>
          <t>чел.-ч.</t>
        </is>
      </c>
      <c r="E14" s="449">
        <f>SUM(E13:E13)</f>
        <v/>
      </c>
      <c r="F14" s="207" t="n"/>
      <c r="G14" s="207">
        <f>SUM(G13:G13)</f>
        <v/>
      </c>
      <c r="H14" s="384" t="n">
        <v>1</v>
      </c>
      <c r="I14" s="200" t="n"/>
      <c r="J14" s="207">
        <f>SUM(J13:J13)</f>
        <v/>
      </c>
    </row>
    <row r="15" ht="14.25" customFormat="1" customHeight="1" s="305">
      <c r="A15" s="373" t="n"/>
      <c r="B15" s="381" t="inlineStr">
        <is>
          <t>Затраты труда машинистов</t>
        </is>
      </c>
      <c r="C15" s="440" t="n"/>
      <c r="D15" s="440" t="n"/>
      <c r="E15" s="440" t="n"/>
      <c r="F15" s="440" t="n"/>
      <c r="G15" s="440" t="n"/>
      <c r="H15" s="441" t="n"/>
      <c r="I15" s="200" t="n"/>
      <c r="J15" s="200" t="n"/>
    </row>
    <row r="16" ht="14.25" customFormat="1" customHeight="1" s="305">
      <c r="A16" s="373" t="n">
        <v>2</v>
      </c>
      <c r="B16" s="373" t="n">
        <v>2</v>
      </c>
      <c r="C16" s="381" t="inlineStr">
        <is>
          <t>Затраты труда машинистов</t>
        </is>
      </c>
      <c r="D16" s="373" t="inlineStr">
        <is>
          <t>чел.-ч.</t>
        </is>
      </c>
      <c r="E16" s="449" t="n">
        <v>75.5</v>
      </c>
      <c r="F16" s="207">
        <f>G16/E16</f>
        <v/>
      </c>
      <c r="G16" s="207">
        <f>Прил.3!H14</f>
        <v/>
      </c>
      <c r="H16" s="384" t="n">
        <v>1</v>
      </c>
      <c r="I16" s="207">
        <f>ROUND(F16*Прил.10!D11,2)</f>
        <v/>
      </c>
      <c r="J16" s="207">
        <f>ROUND(I16*E16,2)</f>
        <v/>
      </c>
    </row>
    <row r="17" ht="14.25" customFormat="1" customHeight="1" s="305">
      <c r="A17" s="373" t="n"/>
      <c r="B17" s="363" t="inlineStr">
        <is>
          <t>Машины и механизмы</t>
        </is>
      </c>
      <c r="C17" s="440" t="n"/>
      <c r="D17" s="440" t="n"/>
      <c r="E17" s="440" t="n"/>
      <c r="F17" s="440" t="n"/>
      <c r="G17" s="440" t="n"/>
      <c r="H17" s="441" t="n"/>
      <c r="I17" s="200" t="n"/>
      <c r="J17" s="200" t="n"/>
    </row>
    <row r="18" ht="14.25" customFormat="1" customHeight="1" s="305">
      <c r="A18" s="373" t="n"/>
      <c r="B18" s="381" t="inlineStr">
        <is>
          <t>Основные машины и механизмы</t>
        </is>
      </c>
      <c r="C18" s="440" t="n"/>
      <c r="D18" s="440" t="n"/>
      <c r="E18" s="440" t="n"/>
      <c r="F18" s="440" t="n"/>
      <c r="G18" s="440" t="n"/>
      <c r="H18" s="441" t="n"/>
      <c r="I18" s="200" t="n"/>
      <c r="J18" s="200" t="n"/>
    </row>
    <row r="19" ht="25.5" customFormat="1" customHeight="1" s="305">
      <c r="A19" s="373" t="n">
        <v>3</v>
      </c>
      <c r="B19" s="272" t="inlineStr">
        <is>
          <t>91.05.05-018</t>
        </is>
      </c>
      <c r="C19" s="273" t="inlineStr">
        <is>
          <t>Краны на автомобильном ходу, грузоподъемность 63 т</t>
        </is>
      </c>
      <c r="D19" s="394" t="inlineStr">
        <is>
          <t>маш.час</t>
        </is>
      </c>
      <c r="E19" s="450" t="n">
        <v>14.5</v>
      </c>
      <c r="F19" s="275" t="n">
        <v>823.23</v>
      </c>
      <c r="G19" s="207">
        <f>ROUND(E19*F19,2)</f>
        <v/>
      </c>
      <c r="H19" s="209">
        <f>G19/$G$31</f>
        <v/>
      </c>
      <c r="I19" s="207">
        <f>ROUND(F19*Прил.10!$D$12,2)</f>
        <v/>
      </c>
      <c r="J19" s="207">
        <f>ROUND(I19*E19,2)</f>
        <v/>
      </c>
    </row>
    <row r="20" ht="25.5" customFormat="1" customHeight="1" s="305">
      <c r="A20" s="373" t="n">
        <v>4</v>
      </c>
      <c r="B20" s="272" t="inlineStr">
        <is>
          <t>91.06.03-012</t>
        </is>
      </c>
      <c r="C20" s="273" t="inlineStr">
        <is>
          <t>Лебедки-прицепы гидравлические для протяжки кабеля, тяговое усилие 10 т</t>
        </is>
      </c>
      <c r="D20" s="394" t="inlineStr">
        <is>
          <t>маш.час</t>
        </is>
      </c>
      <c r="E20" s="450" t="n">
        <v>25</v>
      </c>
      <c r="F20" s="275" t="n">
        <v>244.95</v>
      </c>
      <c r="G20" s="207">
        <f>ROUND(E20*F20,2)</f>
        <v/>
      </c>
      <c r="H20" s="209">
        <f>G20/$G$31</f>
        <v/>
      </c>
      <c r="I20" s="207">
        <f>ROUND(F20*Прил.10!$D$12,2)</f>
        <v/>
      </c>
      <c r="J20" s="207">
        <f>ROUND(I20*E20,2)</f>
        <v/>
      </c>
    </row>
    <row r="21" ht="14.25" customFormat="1" customHeight="1" s="305">
      <c r="A21" s="373" t="n"/>
      <c r="B21" s="373" t="n"/>
      <c r="C21" s="381" t="inlineStr">
        <is>
          <t>Итого основные машины и механизмы</t>
        </is>
      </c>
      <c r="D21" s="373" t="n"/>
      <c r="E21" s="449" t="n"/>
      <c r="F21" s="207" t="n"/>
      <c r="G21" s="207">
        <f>SUM(G19:G20)</f>
        <v/>
      </c>
      <c r="H21" s="384">
        <f>G21/G31</f>
        <v/>
      </c>
      <c r="I21" s="201" t="n"/>
      <c r="J21" s="207">
        <f>SUM(J19:J20)</f>
        <v/>
      </c>
    </row>
    <row r="22" outlineLevel="1" ht="14.25" customFormat="1" customHeight="1" s="305">
      <c r="A22" s="373" t="n">
        <v>5</v>
      </c>
      <c r="B22" s="272" t="inlineStr">
        <is>
          <t>91.14.04-003</t>
        </is>
      </c>
      <c r="C22" s="273" t="inlineStr">
        <is>
          <t>Тягачи седельные, грузоподъемность 30 т</t>
        </is>
      </c>
      <c r="D22" s="394" t="inlineStr">
        <is>
          <t>маш.час</t>
        </is>
      </c>
      <c r="E22" s="450" t="n">
        <v>12</v>
      </c>
      <c r="F22" s="275" t="n">
        <v>120.31</v>
      </c>
      <c r="G22" s="207">
        <f>ROUND(E22*F22,2)</f>
        <v/>
      </c>
      <c r="H22" s="209">
        <f>G22/$G$31</f>
        <v/>
      </c>
      <c r="I22" s="207">
        <f>ROUND(F22*Прил.10!$D$12,2)</f>
        <v/>
      </c>
      <c r="J22" s="207">
        <f>ROUND(I22*E22,2)</f>
        <v/>
      </c>
    </row>
    <row r="23" outlineLevel="1" ht="25.5" customFormat="1" customHeight="1" s="305">
      <c r="A23" s="373" t="n">
        <v>6</v>
      </c>
      <c r="B23" s="272" t="inlineStr">
        <is>
          <t>91.05.13-001</t>
        </is>
      </c>
      <c r="C23" s="273" t="inlineStr">
        <is>
          <t>Автомобили бортовые, грузоподъемность до 6 т, с краном-манипулятором-4,0 т</t>
        </is>
      </c>
      <c r="D23" s="394" t="inlineStr">
        <is>
          <t>маш.час</t>
        </is>
      </c>
      <c r="E23" s="450" t="n">
        <v>1.5</v>
      </c>
      <c r="F23" s="275" t="n">
        <v>288.03</v>
      </c>
      <c r="G23" s="207">
        <f>ROUND(E23*F23,2)</f>
        <v/>
      </c>
      <c r="H23" s="209">
        <f>G23/$G$31</f>
        <v/>
      </c>
      <c r="I23" s="207">
        <f>ROUND(F23*Прил.10!$D$12,2)</f>
        <v/>
      </c>
      <c r="J23" s="207">
        <f>ROUND(I23*E23,2)</f>
        <v/>
      </c>
    </row>
    <row r="24" outlineLevel="1" ht="25.5" customFormat="1" customHeight="1" s="305">
      <c r="A24" s="373" t="n">
        <v>7</v>
      </c>
      <c r="B24" s="272" t="inlineStr">
        <is>
          <t>91.11.01-021</t>
        </is>
      </c>
      <c r="C24" s="273" t="inlineStr">
        <is>
          <t>Устройства подталкивающие для протяжки кабеля, тяговое усилие 800 кг</t>
        </is>
      </c>
      <c r="D24" s="394" t="inlineStr">
        <is>
          <t>маш.час</t>
        </is>
      </c>
      <c r="E24" s="450" t="n">
        <v>16.8</v>
      </c>
      <c r="F24" s="275" t="n">
        <v>25.37</v>
      </c>
      <c r="G24" s="207">
        <f>ROUND(E24*F24,2)</f>
        <v/>
      </c>
      <c r="H24" s="209">
        <f>G24/$G$31</f>
        <v/>
      </c>
      <c r="I24" s="207">
        <f>ROUND(F24*Прил.10!$D$12,2)</f>
        <v/>
      </c>
      <c r="J24" s="207">
        <f>ROUND(I24*E24,2)</f>
        <v/>
      </c>
    </row>
    <row r="25" outlineLevel="1" ht="25.5" customFormat="1" customHeight="1" s="305">
      <c r="A25" s="373" t="n">
        <v>8</v>
      </c>
      <c r="B25" s="272" t="inlineStr">
        <is>
          <t>91.14.05-002</t>
        </is>
      </c>
      <c r="C25" s="273" t="inlineStr">
        <is>
          <t>Полуприцепы-тяжеловозы, грузоподъемность 40 т</t>
        </is>
      </c>
      <c r="D25" s="394" t="inlineStr">
        <is>
          <t>маш.час</t>
        </is>
      </c>
      <c r="E25" s="450" t="n">
        <v>12</v>
      </c>
      <c r="F25" s="275" t="n">
        <v>28.65</v>
      </c>
      <c r="G25" s="207">
        <f>ROUND(E25*F25,2)</f>
        <v/>
      </c>
      <c r="H25" s="209">
        <f>G25/$G$31</f>
        <v/>
      </c>
      <c r="I25" s="207">
        <f>ROUND(F25*Прил.10!$D$12,2)</f>
        <v/>
      </c>
      <c r="J25" s="207">
        <f>ROUND(I25*E25,2)</f>
        <v/>
      </c>
    </row>
    <row r="26" outlineLevel="1" ht="25.5" customFormat="1" customHeight="1" s="305">
      <c r="A26" s="373" t="n">
        <v>9</v>
      </c>
      <c r="B26" s="272" t="inlineStr">
        <is>
          <t>91.16.01-002</t>
        </is>
      </c>
      <c r="C26" s="273" t="inlineStr">
        <is>
          <t>Электростанции передвижные, мощность 4 кВт</t>
        </is>
      </c>
      <c r="D26" s="394" t="inlineStr">
        <is>
          <t>маш.час</t>
        </is>
      </c>
      <c r="E26" s="450" t="n">
        <v>8</v>
      </c>
      <c r="F26" s="275" t="n">
        <v>27.11</v>
      </c>
      <c r="G26" s="207">
        <f>ROUND(E26*F26,2)</f>
        <v/>
      </c>
      <c r="H26" s="209">
        <f>G26/$G$31</f>
        <v/>
      </c>
      <c r="I26" s="207">
        <f>ROUND(F26*Прил.10!$D$12,2)</f>
        <v/>
      </c>
      <c r="J26" s="207">
        <f>ROUND(I26*E26,2)</f>
        <v/>
      </c>
    </row>
    <row r="27" outlineLevel="1" ht="14.25" customFormat="1" customHeight="1" s="305">
      <c r="A27" s="373" t="n">
        <v>10</v>
      </c>
      <c r="B27" s="272" t="inlineStr">
        <is>
          <t>91.17.04-091</t>
        </is>
      </c>
      <c r="C27" s="273" t="inlineStr">
        <is>
          <t>Горелки газовые инжекторные</t>
        </is>
      </c>
      <c r="D27" s="394" t="inlineStr">
        <is>
          <t>маш.час</t>
        </is>
      </c>
      <c r="E27" s="450" t="n">
        <v>8</v>
      </c>
      <c r="F27" s="275" t="n">
        <v>13.5</v>
      </c>
      <c r="G27" s="207">
        <f>ROUND(E27*F27,2)</f>
        <v/>
      </c>
      <c r="H27" s="209">
        <f>G27/$G$31</f>
        <v/>
      </c>
      <c r="I27" s="207">
        <f>ROUND(F27*Прил.10!$D$12,2)</f>
        <v/>
      </c>
      <c r="J27" s="207">
        <f>ROUND(I27*E27,2)</f>
        <v/>
      </c>
    </row>
    <row r="28" outlineLevel="1" ht="14.25" customFormat="1" customHeight="1" s="305">
      <c r="A28" s="373" t="n">
        <v>11</v>
      </c>
      <c r="B28" s="272" t="inlineStr">
        <is>
          <t>91.21.15-022</t>
        </is>
      </c>
      <c r="C28" s="273" t="inlineStr">
        <is>
          <t>Пилы ленточные с поворотной пилорамой</t>
        </is>
      </c>
      <c r="D28" s="394" t="inlineStr">
        <is>
          <t>маш.час</t>
        </is>
      </c>
      <c r="E28" s="450" t="n">
        <v>8</v>
      </c>
      <c r="F28" s="275" t="n">
        <v>3.31</v>
      </c>
      <c r="G28" s="207">
        <f>ROUND(E28*F28,2)</f>
        <v/>
      </c>
      <c r="H28" s="209">
        <f>G28/$G$31</f>
        <v/>
      </c>
      <c r="I28" s="207">
        <f>ROUND(F28*Прил.10!$D$12,2)</f>
        <v/>
      </c>
      <c r="J28" s="207">
        <f>ROUND(I28*E28,2)</f>
        <v/>
      </c>
    </row>
    <row r="29" outlineLevel="1" ht="25.5" customFormat="1" customHeight="1" s="305">
      <c r="A29" s="373" t="n">
        <v>12</v>
      </c>
      <c r="B29" s="272" t="inlineStr">
        <is>
          <t>91.06.01-002</t>
        </is>
      </c>
      <c r="C29" s="273" t="inlineStr">
        <is>
          <t>Домкраты гидравлические, грузоподъемность 6,3-25 т</t>
        </is>
      </c>
      <c r="D29" s="394" t="inlineStr">
        <is>
          <t>маш.час</t>
        </is>
      </c>
      <c r="E29" s="450" t="n">
        <v>40.8</v>
      </c>
      <c r="F29" s="275" t="n">
        <v>0.48</v>
      </c>
      <c r="G29" s="207">
        <f>ROUND(E29*F29,2)</f>
        <v/>
      </c>
      <c r="H29" s="209">
        <f>G29/$G$31</f>
        <v/>
      </c>
      <c r="I29" s="207">
        <f>ROUND(F29*Прил.10!$D$12,2)</f>
        <v/>
      </c>
      <c r="J29" s="207">
        <f>ROUND(I29*E29,2)</f>
        <v/>
      </c>
    </row>
    <row r="30" ht="14.25" customFormat="1" customHeight="1" s="305">
      <c r="A30" s="373" t="n"/>
      <c r="B30" s="373" t="n"/>
      <c r="C30" s="381" t="inlineStr">
        <is>
          <t>Итого прочие машины и механизмы</t>
        </is>
      </c>
      <c r="D30" s="373" t="n"/>
      <c r="E30" s="382" t="n"/>
      <c r="F30" s="207" t="n"/>
      <c r="G30" s="201">
        <f>SUM(G22:G29)</f>
        <v/>
      </c>
      <c r="H30" s="209">
        <f>G30/G31</f>
        <v/>
      </c>
      <c r="I30" s="207" t="n"/>
      <c r="J30" s="207">
        <f>SUM(J22:J29)</f>
        <v/>
      </c>
    </row>
    <row r="31" ht="25.5" customFormat="1" customHeight="1" s="305">
      <c r="A31" s="373" t="n"/>
      <c r="B31" s="373" t="n"/>
      <c r="C31" s="363" t="inlineStr">
        <is>
          <t>Итого по разделу «Машины и механизмы»</t>
        </is>
      </c>
      <c r="D31" s="373" t="n"/>
      <c r="E31" s="382" t="n"/>
      <c r="F31" s="207" t="n"/>
      <c r="G31" s="207">
        <f>G30+G21</f>
        <v/>
      </c>
      <c r="H31" s="194" t="n">
        <v>1</v>
      </c>
      <c r="I31" s="195" t="n"/>
      <c r="J31" s="221">
        <f>J30+J21</f>
        <v/>
      </c>
    </row>
    <row r="32" ht="14.25" customFormat="1" customHeight="1" s="305">
      <c r="A32" s="373" t="n"/>
      <c r="B32" s="363" t="inlineStr">
        <is>
          <t>Оборудование</t>
        </is>
      </c>
      <c r="C32" s="440" t="n"/>
      <c r="D32" s="440" t="n"/>
      <c r="E32" s="440" t="n"/>
      <c r="F32" s="440" t="n"/>
      <c r="G32" s="440" t="n"/>
      <c r="H32" s="441" t="n"/>
      <c r="I32" s="200" t="n"/>
      <c r="J32" s="200" t="n"/>
    </row>
    <row r="33">
      <c r="A33" s="373" t="n"/>
      <c r="B33" s="381" t="inlineStr">
        <is>
          <t>Основное оборудование</t>
        </is>
      </c>
      <c r="C33" s="440" t="n"/>
      <c r="D33" s="440" t="n"/>
      <c r="E33" s="440" t="n"/>
      <c r="F33" s="440" t="n"/>
      <c r="G33" s="440" t="n"/>
      <c r="H33" s="441" t="n"/>
      <c r="I33" s="200" t="n"/>
      <c r="J33" s="200" t="n"/>
      <c r="K33" s="305" t="n"/>
      <c r="L33" s="305" t="n"/>
    </row>
    <row r="34">
      <c r="A34" s="373" t="n"/>
      <c r="B34" s="373" t="n"/>
      <c r="C34" s="381" t="inlineStr">
        <is>
          <t>Итого основное оборудование</t>
        </is>
      </c>
      <c r="D34" s="373" t="n"/>
      <c r="E34" s="451" t="n"/>
      <c r="F34" s="383" t="n"/>
      <c r="G34" s="207" t="n">
        <v>0</v>
      </c>
      <c r="H34" s="209" t="n">
        <v>0</v>
      </c>
      <c r="I34" s="201" t="n"/>
      <c r="J34" s="207" t="n">
        <v>0</v>
      </c>
      <c r="K34" s="305" t="n"/>
      <c r="L34" s="305" t="n"/>
    </row>
    <row r="35">
      <c r="A35" s="373" t="n"/>
      <c r="B35" s="373" t="n"/>
      <c r="C35" s="381" t="inlineStr">
        <is>
          <t>Итого прочее оборудование</t>
        </is>
      </c>
      <c r="D35" s="373" t="n"/>
      <c r="E35" s="449" t="n"/>
      <c r="F35" s="383" t="n"/>
      <c r="G35" s="207" t="n">
        <v>0</v>
      </c>
      <c r="H35" s="209" t="n">
        <v>0</v>
      </c>
      <c r="I35" s="201" t="n"/>
      <c r="J35" s="207" t="n">
        <v>0</v>
      </c>
      <c r="K35" s="305" t="n"/>
      <c r="L35" s="305" t="n"/>
    </row>
    <row r="36">
      <c r="A36" s="373" t="n"/>
      <c r="B36" s="373" t="n"/>
      <c r="C36" s="363" t="inlineStr">
        <is>
          <t>Итого по разделу «Оборудование»</t>
        </is>
      </c>
      <c r="D36" s="373" t="n"/>
      <c r="E36" s="382" t="n"/>
      <c r="F36" s="383" t="n"/>
      <c r="G36" s="207">
        <f>G34+G35</f>
        <v/>
      </c>
      <c r="H36" s="209" t="n">
        <v>0</v>
      </c>
      <c r="I36" s="201" t="n"/>
      <c r="J36" s="207">
        <f>J35+J34</f>
        <v/>
      </c>
      <c r="K36" s="305" t="n"/>
      <c r="L36" s="305" t="n"/>
    </row>
    <row r="37" ht="25.5" customHeight="1" s="325">
      <c r="A37" s="373" t="n"/>
      <c r="B37" s="373" t="n"/>
      <c r="C37" s="381" t="inlineStr">
        <is>
          <t>в том числе технологическое оборудование</t>
        </is>
      </c>
      <c r="D37" s="373" t="n"/>
      <c r="E37" s="451" t="n"/>
      <c r="F37" s="383" t="n"/>
      <c r="G37" s="207">
        <f>'Прил.6 Расчет ОБ'!G12</f>
        <v/>
      </c>
      <c r="H37" s="384" t="n"/>
      <c r="I37" s="201" t="n"/>
      <c r="J37" s="207">
        <f>J36</f>
        <v/>
      </c>
      <c r="K37" s="305" t="n"/>
      <c r="L37" s="305" t="n"/>
    </row>
    <row r="38" ht="14.25" customFormat="1" customHeight="1" s="305">
      <c r="A38" s="373" t="n"/>
      <c r="B38" s="363" t="inlineStr">
        <is>
          <t>Материалы</t>
        </is>
      </c>
      <c r="C38" s="440" t="n"/>
      <c r="D38" s="440" t="n"/>
      <c r="E38" s="440" t="n"/>
      <c r="F38" s="440" t="n"/>
      <c r="G38" s="440" t="n"/>
      <c r="H38" s="441" t="n"/>
      <c r="I38" s="200" t="n"/>
      <c r="J38" s="200" t="n"/>
    </row>
    <row r="39" ht="14.25" customFormat="1" customHeight="1" s="305">
      <c r="A39" s="374" t="n"/>
      <c r="B39" s="377" t="inlineStr">
        <is>
          <t>Основные материалы</t>
        </is>
      </c>
      <c r="C39" s="452" t="n"/>
      <c r="D39" s="452" t="n"/>
      <c r="E39" s="452" t="n"/>
      <c r="F39" s="452" t="n"/>
      <c r="G39" s="452" t="n"/>
      <c r="H39" s="453" t="n"/>
      <c r="I39" s="215" t="n"/>
      <c r="J39" s="215" t="n"/>
    </row>
    <row r="40" ht="14.25" customFormat="1" customHeight="1" s="305">
      <c r="A40" s="373" t="n">
        <v>13</v>
      </c>
      <c r="B40" s="373" t="inlineStr">
        <is>
          <t>БЦ.83.621</t>
        </is>
      </c>
      <c r="C40" s="273" t="inlineStr">
        <is>
          <t>Кабель медный 220кВ 1х1600</t>
        </is>
      </c>
      <c r="D40" s="373" t="inlineStr">
        <is>
          <t>км</t>
        </is>
      </c>
      <c r="E40" s="451">
        <f>1*3.3</f>
        <v/>
      </c>
      <c r="F40" s="383">
        <f>ROUND(I40/Прил.10!$D$13,2)</f>
        <v/>
      </c>
      <c r="G40" s="207">
        <f>ROUND(E40*F40,2)</f>
        <v/>
      </c>
      <c r="H40" s="209">
        <f>G40/$G$44</f>
        <v/>
      </c>
      <c r="I40" s="207" t="n">
        <v>22020553.38</v>
      </c>
      <c r="J40" s="207">
        <f>ROUND(I40*E40,2)</f>
        <v/>
      </c>
    </row>
    <row r="41" ht="14.25" customFormat="1" customHeight="1" s="305">
      <c r="A41" s="375" t="n"/>
      <c r="B41" s="217" t="n"/>
      <c r="C41" s="218" t="inlineStr">
        <is>
          <t>Итого основные материалы</t>
        </is>
      </c>
      <c r="D41" s="375" t="n"/>
      <c r="E41" s="454" t="n"/>
      <c r="F41" s="221" t="n"/>
      <c r="G41" s="221">
        <f>SUM(G40:G40)</f>
        <v/>
      </c>
      <c r="H41" s="209">
        <f>G41/$G$44</f>
        <v/>
      </c>
      <c r="I41" s="207" t="n"/>
      <c r="J41" s="221">
        <f>SUM(J40:J40)</f>
        <v/>
      </c>
    </row>
    <row r="42" outlineLevel="1" ht="14.25" customFormat="1" customHeight="1" s="305">
      <c r="A42" s="373" t="n">
        <v>14</v>
      </c>
      <c r="B42" s="272" t="inlineStr">
        <is>
          <t>01.3.02.09-0022</t>
        </is>
      </c>
      <c r="C42" s="273" t="inlineStr">
        <is>
          <t>Пропан-бутан смесь техническая</t>
        </is>
      </c>
      <c r="D42" s="394" t="inlineStr">
        <is>
          <t>кг</t>
        </is>
      </c>
      <c r="E42" s="450" t="n">
        <v>3.56</v>
      </c>
      <c r="F42" s="258" t="n">
        <v>6.09</v>
      </c>
      <c r="G42" s="207">
        <f>ROUND(E42*F42,2)</f>
        <v/>
      </c>
      <c r="H42" s="209">
        <f>G42/$G$44</f>
        <v/>
      </c>
      <c r="I42" s="207">
        <f>ROUND(F42*Прил.10!$D$13,2)</f>
        <v/>
      </c>
      <c r="J42" s="207">
        <f>ROUND(I42*E42,2)</f>
        <v/>
      </c>
    </row>
    <row r="43" ht="14.25" customFormat="1" customHeight="1" s="305">
      <c r="A43" s="373" t="n"/>
      <c r="B43" s="373" t="n"/>
      <c r="C43" s="381" t="inlineStr">
        <is>
          <t>Итого прочие материалы</t>
        </is>
      </c>
      <c r="D43" s="373" t="n"/>
      <c r="E43" s="451" t="n"/>
      <c r="F43" s="383" t="n"/>
      <c r="G43" s="207">
        <f>SUM(G42:G42)</f>
        <v/>
      </c>
      <c r="H43" s="209">
        <f>G43/$G$44</f>
        <v/>
      </c>
      <c r="I43" s="207" t="n"/>
      <c r="J43" s="207">
        <f>SUM(J42:J42)</f>
        <v/>
      </c>
    </row>
    <row r="44" ht="14.25" customFormat="1" customHeight="1" s="305">
      <c r="A44" s="373" t="n"/>
      <c r="B44" s="373" t="n"/>
      <c r="C44" s="363" t="inlineStr">
        <is>
          <t>Итого по разделу «Материалы»</t>
        </is>
      </c>
      <c r="D44" s="373" t="n"/>
      <c r="E44" s="382" t="n"/>
      <c r="F44" s="383" t="n"/>
      <c r="G44" s="207">
        <f>G41+G43</f>
        <v/>
      </c>
      <c r="H44" s="384">
        <f>G44/$G$44</f>
        <v/>
      </c>
      <c r="I44" s="207" t="n"/>
      <c r="J44" s="207">
        <f>J41+J43</f>
        <v/>
      </c>
    </row>
    <row r="45" ht="14.25" customFormat="1" customHeight="1" s="305">
      <c r="A45" s="373" t="n"/>
      <c r="B45" s="373" t="n"/>
      <c r="C45" s="381" t="inlineStr">
        <is>
          <t>ИТОГО ПО РМ</t>
        </is>
      </c>
      <c r="D45" s="373" t="n"/>
      <c r="E45" s="382" t="n"/>
      <c r="F45" s="383" t="n"/>
      <c r="G45" s="207">
        <f>G14+G31+G44</f>
        <v/>
      </c>
      <c r="H45" s="384" t="n"/>
      <c r="I45" s="207" t="n"/>
      <c r="J45" s="207">
        <f>J14+J31+J44</f>
        <v/>
      </c>
    </row>
    <row r="46" ht="14.25" customFormat="1" customHeight="1" s="305">
      <c r="A46" s="373" t="n"/>
      <c r="B46" s="373" t="n"/>
      <c r="C46" s="381" t="inlineStr">
        <is>
          <t>Накладные расходы</t>
        </is>
      </c>
      <c r="D46" s="203">
        <f>ROUND(G46/(G$16+$G$14),2)</f>
        <v/>
      </c>
      <c r="E46" s="382" t="n"/>
      <c r="F46" s="383" t="n"/>
      <c r="G46" s="207" t="n">
        <v>10458.44</v>
      </c>
      <c r="H46" s="384" t="n"/>
      <c r="I46" s="207" t="n"/>
      <c r="J46" s="207">
        <f>ROUND(D46*(J14+J16),2)</f>
        <v/>
      </c>
    </row>
    <row r="47" ht="14.25" customFormat="1" customHeight="1" s="305">
      <c r="A47" s="373" t="n"/>
      <c r="B47" s="373" t="n"/>
      <c r="C47" s="381" t="inlineStr">
        <is>
          <t>Сметная прибыль</t>
        </is>
      </c>
      <c r="D47" s="203">
        <f>ROUND(G47/(G$14+G$16),2)</f>
        <v/>
      </c>
      <c r="E47" s="382" t="n"/>
      <c r="F47" s="383" t="n"/>
      <c r="G47" s="207" t="n">
        <v>5498.77</v>
      </c>
      <c r="H47" s="384" t="n"/>
      <c r="I47" s="207" t="n"/>
      <c r="J47" s="207">
        <f>ROUND(D47*(J14+J16),2)</f>
        <v/>
      </c>
    </row>
    <row r="48" ht="14.25" customFormat="1" customHeight="1" s="305">
      <c r="A48" s="373" t="n"/>
      <c r="B48" s="373" t="n"/>
      <c r="C48" s="381" t="inlineStr">
        <is>
          <t>Итого СМР (с НР и СП)</t>
        </is>
      </c>
      <c r="D48" s="373" t="n"/>
      <c r="E48" s="382" t="n"/>
      <c r="F48" s="383" t="n"/>
      <c r="G48" s="207">
        <f>G14+G31+G44+G46+G47</f>
        <v/>
      </c>
      <c r="H48" s="384" t="n"/>
      <c r="I48" s="207" t="n"/>
      <c r="J48" s="207">
        <f>J14+J31+J44+J46+J47</f>
        <v/>
      </c>
    </row>
    <row r="49" ht="14.25" customFormat="1" customHeight="1" s="305">
      <c r="A49" s="373" t="n"/>
      <c r="B49" s="373" t="n"/>
      <c r="C49" s="381" t="inlineStr">
        <is>
          <t>ВСЕГО СМР + ОБОРУДОВАНИЕ</t>
        </is>
      </c>
      <c r="D49" s="373" t="n"/>
      <c r="E49" s="382" t="n"/>
      <c r="F49" s="383" t="n"/>
      <c r="G49" s="207">
        <f>G48+G36</f>
        <v/>
      </c>
      <c r="H49" s="384" t="n"/>
      <c r="I49" s="207" t="n"/>
      <c r="J49" s="207">
        <f>J48+J36</f>
        <v/>
      </c>
    </row>
    <row r="50" ht="34.5" customFormat="1" customHeight="1" s="305">
      <c r="A50" s="373" t="n"/>
      <c r="B50" s="373" t="n"/>
      <c r="C50" s="381" t="inlineStr">
        <is>
          <t>ИТОГО ПОКАЗАТЕЛЬ НА ЕД. ИЗМ.</t>
        </is>
      </c>
      <c r="D50" s="373" t="inlineStr">
        <is>
          <t>1 км</t>
        </is>
      </c>
      <c r="E50" s="451" t="n">
        <v>1</v>
      </c>
      <c r="F50" s="383" t="n"/>
      <c r="G50" s="207">
        <f>G49/E50</f>
        <v/>
      </c>
      <c r="H50" s="384" t="n"/>
      <c r="I50" s="207" t="n"/>
      <c r="J50" s="207">
        <f>J49/E50</f>
        <v/>
      </c>
    </row>
    <row r="52" ht="14.25" customFormat="1" customHeight="1" s="305">
      <c r="A52" s="304" t="inlineStr">
        <is>
          <t>Составил ______________________    А.Р. Маркова</t>
        </is>
      </c>
    </row>
    <row r="53" ht="14.25" customFormat="1" customHeight="1" s="305">
      <c r="A53" s="307" t="inlineStr">
        <is>
          <t xml:space="preserve">                         (подпись, инициалы, фамилия)</t>
        </is>
      </c>
    </row>
    <row r="54" ht="14.25" customFormat="1" customHeight="1" s="305">
      <c r="A54" s="304" t="n"/>
    </row>
    <row r="55" ht="14.25" customFormat="1" customHeight="1" s="305">
      <c r="A55" s="304" t="inlineStr">
        <is>
          <t>Проверил ______________________        А.В. Костянецкая</t>
        </is>
      </c>
    </row>
    <row r="56" ht="14.25" customFormat="1" customHeight="1" s="305">
      <c r="A56" s="307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workbookViewId="0">
      <selection activeCell="D21" sqref="D21:E21"/>
    </sheetView>
  </sheetViews>
  <sheetFormatPr baseColWidth="8" defaultRowHeight="15"/>
  <cols>
    <col width="5.7109375" customWidth="1" style="325" min="1" max="1"/>
    <col width="17.5703125" customWidth="1" style="325" min="2" max="2"/>
    <col width="39.140625" customWidth="1" style="325" min="3" max="3"/>
    <col width="10.7109375" customWidth="1" style="325" min="4" max="4"/>
    <col width="13.85546875" customWidth="1" style="325" min="5" max="5"/>
    <col width="13.28515625" customWidth="1" style="325" min="6" max="6"/>
    <col width="14.140625" customWidth="1" style="325" min="7" max="7"/>
  </cols>
  <sheetData>
    <row r="1">
      <c r="A1" s="389" t="inlineStr">
        <is>
          <t>Приложение №6</t>
        </is>
      </c>
    </row>
    <row r="2" ht="21.75" customHeight="1" s="325">
      <c r="A2" s="389" t="n"/>
      <c r="B2" s="389" t="n"/>
      <c r="C2" s="389" t="n"/>
      <c r="D2" s="389" t="n"/>
      <c r="E2" s="389" t="n"/>
      <c r="F2" s="389" t="n"/>
      <c r="G2" s="389" t="n"/>
    </row>
    <row r="3">
      <c r="A3" s="347" t="inlineStr">
        <is>
          <t>Расчет стоимости оборудования</t>
        </is>
      </c>
    </row>
    <row r="4" ht="25.5" customHeight="1" s="325">
      <c r="A4" s="350" t="inlineStr">
        <is>
          <t>Наименование разрабатываемого показателя УНЦ — КЛ 220 кВ (с медной жилой) сечение жилы 1600 мм2</t>
        </is>
      </c>
    </row>
    <row r="5">
      <c r="A5" s="304" t="n"/>
      <c r="B5" s="304" t="n"/>
      <c r="C5" s="304" t="n"/>
      <c r="D5" s="304" t="n"/>
      <c r="E5" s="304" t="n"/>
      <c r="F5" s="304" t="n"/>
      <c r="G5" s="304" t="n"/>
    </row>
    <row r="6" ht="30" customHeight="1" s="325">
      <c r="A6" s="394" t="inlineStr">
        <is>
          <t>№ пп.</t>
        </is>
      </c>
      <c r="B6" s="394" t="inlineStr">
        <is>
          <t>Код ресурса</t>
        </is>
      </c>
      <c r="C6" s="394" t="inlineStr">
        <is>
          <t>Наименование</t>
        </is>
      </c>
      <c r="D6" s="394" t="inlineStr">
        <is>
          <t>Ед. изм.</t>
        </is>
      </c>
      <c r="E6" s="373" t="inlineStr">
        <is>
          <t>Кол-во единиц по проектным данным</t>
        </is>
      </c>
      <c r="F6" s="394" t="inlineStr">
        <is>
          <t>Сметная стоимость в ценах на 01.01.2000 (руб.)</t>
        </is>
      </c>
      <c r="G6" s="441" t="n"/>
    </row>
    <row r="7">
      <c r="A7" s="443" t="n"/>
      <c r="B7" s="443" t="n"/>
      <c r="C7" s="443" t="n"/>
      <c r="D7" s="443" t="n"/>
      <c r="E7" s="443" t="n"/>
      <c r="F7" s="373" t="inlineStr">
        <is>
          <t>на ед. изм.</t>
        </is>
      </c>
      <c r="G7" s="373" t="inlineStr">
        <is>
          <t>общая</t>
        </is>
      </c>
    </row>
    <row r="8">
      <c r="A8" s="373" t="n">
        <v>1</v>
      </c>
      <c r="B8" s="373" t="n">
        <v>2</v>
      </c>
      <c r="C8" s="373" t="n">
        <v>3</v>
      </c>
      <c r="D8" s="373" t="n">
        <v>4</v>
      </c>
      <c r="E8" s="373" t="n">
        <v>5</v>
      </c>
      <c r="F8" s="373" t="n">
        <v>6</v>
      </c>
      <c r="G8" s="373" t="n">
        <v>7</v>
      </c>
    </row>
    <row r="9" ht="15" customHeight="1" s="325">
      <c r="A9" s="245" t="n"/>
      <c r="B9" s="381" t="inlineStr">
        <is>
          <t>ИНЖЕНЕРНОЕ ОБОРУДОВАНИЕ</t>
        </is>
      </c>
      <c r="C9" s="440" t="n"/>
      <c r="D9" s="440" t="n"/>
      <c r="E9" s="440" t="n"/>
      <c r="F9" s="440" t="n"/>
      <c r="G9" s="441" t="n"/>
    </row>
    <row r="10" ht="27" customHeight="1" s="325">
      <c r="A10" s="373" t="n"/>
      <c r="B10" s="363" t="n"/>
      <c r="C10" s="381" t="inlineStr">
        <is>
          <t>ИТОГО ИНЖЕНЕРНОЕ ОБОРУДОВАНИЕ</t>
        </is>
      </c>
      <c r="D10" s="363" t="n"/>
      <c r="E10" s="148" t="n"/>
      <c r="F10" s="383" t="n"/>
      <c r="G10" s="383" t="n">
        <v>0</v>
      </c>
    </row>
    <row r="11">
      <c r="A11" s="373" t="n"/>
      <c r="B11" s="381" t="inlineStr">
        <is>
          <t>ТЕХНОЛОГИЧЕСКОЕ ОБОРУДОВАНИЕ</t>
        </is>
      </c>
      <c r="C11" s="440" t="n"/>
      <c r="D11" s="440" t="n"/>
      <c r="E11" s="440" t="n"/>
      <c r="F11" s="440" t="n"/>
      <c r="G11" s="441" t="n"/>
    </row>
    <row r="12" ht="25.5" customHeight="1" s="325">
      <c r="A12" s="373" t="n"/>
      <c r="B12" s="381" t="n"/>
      <c r="C12" s="381" t="inlineStr">
        <is>
          <t>ИТОГО ТЕХНОЛОГИЧЕСКОЕ ОБОРУДОВАНИЕ</t>
        </is>
      </c>
      <c r="D12" s="381" t="n"/>
      <c r="E12" s="393" t="n"/>
      <c r="F12" s="383" t="n"/>
      <c r="G12" s="207" t="n">
        <v>0</v>
      </c>
    </row>
    <row r="13" ht="19.5" customHeight="1" s="325">
      <c r="A13" s="373" t="n"/>
      <c r="B13" s="381" t="n"/>
      <c r="C13" s="381" t="inlineStr">
        <is>
          <t>Всего по разделу «Оборудование»</t>
        </is>
      </c>
      <c r="D13" s="381" t="n"/>
      <c r="E13" s="393" t="n"/>
      <c r="F13" s="383" t="n"/>
      <c r="G13" s="207">
        <f>G10+G12</f>
        <v/>
      </c>
    </row>
    <row r="14">
      <c r="A14" s="306" t="n"/>
      <c r="B14" s="151" t="n"/>
      <c r="C14" s="306" t="n"/>
      <c r="D14" s="306" t="n"/>
      <c r="E14" s="306" t="n"/>
      <c r="F14" s="306" t="n"/>
      <c r="G14" s="306" t="n"/>
    </row>
    <row r="15">
      <c r="A15" s="304" t="inlineStr">
        <is>
          <t>Составил ______________________    А.Р. Маркова</t>
        </is>
      </c>
      <c r="B15" s="305" t="n"/>
      <c r="C15" s="305" t="n"/>
      <c r="D15" s="306" t="n"/>
      <c r="E15" s="306" t="n"/>
      <c r="F15" s="306" t="n"/>
      <c r="G15" s="306" t="n"/>
    </row>
    <row r="16">
      <c r="A16" s="307" t="inlineStr">
        <is>
          <t xml:space="preserve">                         (подпись, инициалы, фамилия)</t>
        </is>
      </c>
      <c r="B16" s="305" t="n"/>
      <c r="C16" s="305" t="n"/>
      <c r="D16" s="306" t="n"/>
      <c r="E16" s="306" t="n"/>
      <c r="F16" s="306" t="n"/>
      <c r="G16" s="306" t="n"/>
    </row>
    <row r="17">
      <c r="A17" s="304" t="n"/>
      <c r="B17" s="305" t="n"/>
      <c r="C17" s="305" t="n"/>
      <c r="D17" s="306" t="n"/>
      <c r="E17" s="306" t="n"/>
      <c r="F17" s="306" t="n"/>
      <c r="G17" s="306" t="n"/>
    </row>
    <row r="18">
      <c r="A18" s="304" t="inlineStr">
        <is>
          <t>Проверил ______________________        А.В. Костянецкая</t>
        </is>
      </c>
      <c r="B18" s="305" t="n"/>
      <c r="C18" s="305" t="n"/>
      <c r="D18" s="306" t="n"/>
      <c r="E18" s="306" t="n"/>
      <c r="F18" s="306" t="n"/>
      <c r="G18" s="306" t="n"/>
    </row>
    <row r="19">
      <c r="A19" s="307" t="inlineStr">
        <is>
          <t xml:space="preserve">                        (подпись, инициалы, фамилия)</t>
        </is>
      </c>
      <c r="B19" s="305" t="n"/>
      <c r="C19" s="305" t="n"/>
      <c r="D19" s="306" t="n"/>
      <c r="E19" s="306" t="n"/>
      <c r="F19" s="306" t="n"/>
      <c r="G19" s="3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325" min="1" max="1"/>
    <col width="22.42578125" customWidth="1" style="325" min="2" max="2"/>
    <col width="37.140625" customWidth="1" style="325" min="3" max="3"/>
    <col width="49" customWidth="1" style="325" min="4" max="4"/>
    <col width="9.140625" customWidth="1" style="325" min="5" max="5"/>
  </cols>
  <sheetData>
    <row r="1" ht="15.75" customHeight="1" s="325">
      <c r="A1" s="327" t="n"/>
      <c r="B1" s="327" t="n"/>
      <c r="C1" s="327" t="n"/>
      <c r="D1" s="327" t="inlineStr">
        <is>
          <t>Приложение №7</t>
        </is>
      </c>
    </row>
    <row r="2" ht="15.75" customHeight="1" s="325">
      <c r="A2" s="327" t="n"/>
      <c r="B2" s="327" t="n"/>
      <c r="C2" s="327" t="n"/>
      <c r="D2" s="327" t="n"/>
    </row>
    <row r="3" ht="15.75" customHeight="1" s="325">
      <c r="A3" s="327" t="n"/>
      <c r="B3" s="298" t="inlineStr">
        <is>
          <t>Расчет показателя УНЦ</t>
        </is>
      </c>
      <c r="C3" s="327" t="n"/>
      <c r="D3" s="327" t="n"/>
    </row>
    <row r="4" ht="15.75" customHeight="1" s="325">
      <c r="A4" s="327" t="n"/>
      <c r="B4" s="327" t="n"/>
      <c r="C4" s="327" t="n"/>
      <c r="D4" s="327" t="n"/>
    </row>
    <row r="5" ht="31.5" customHeight="1" s="325">
      <c r="A5" s="395" t="inlineStr">
        <is>
          <t xml:space="preserve">Наименование разрабатываемого показателя УНЦ - </t>
        </is>
      </c>
      <c r="D5" s="395">
        <f>'Прил.5 Расчет СМР и ОБ'!D6:J6</f>
        <v/>
      </c>
    </row>
    <row r="6" ht="15.75" customHeight="1" s="325">
      <c r="A6" s="327" t="inlineStr">
        <is>
          <t>Единица измерения  — 1 км</t>
        </is>
      </c>
      <c r="B6" s="327" t="n"/>
      <c r="C6" s="327" t="n"/>
      <c r="D6" s="327" t="n"/>
    </row>
    <row r="7" ht="15.75" customHeight="1" s="325">
      <c r="A7" s="327" t="n"/>
      <c r="B7" s="327" t="n"/>
      <c r="C7" s="327" t="n"/>
      <c r="D7" s="327" t="n"/>
    </row>
    <row r="8">
      <c r="A8" s="362" t="inlineStr">
        <is>
          <t>Код показателя</t>
        </is>
      </c>
      <c r="B8" s="362" t="inlineStr">
        <is>
          <t>Наименование показателя</t>
        </is>
      </c>
      <c r="C8" s="362" t="inlineStr">
        <is>
          <t>Наименование РМ, входящих в состав показателя</t>
        </is>
      </c>
      <c r="D8" s="362" t="inlineStr">
        <is>
          <t>Норматив цены на 01.01.2023, тыс.руб.</t>
        </is>
      </c>
    </row>
    <row r="9">
      <c r="A9" s="443" t="n"/>
      <c r="B9" s="443" t="n"/>
      <c r="C9" s="443" t="n"/>
      <c r="D9" s="443" t="n"/>
    </row>
    <row r="10" ht="15.75" customHeight="1" s="325">
      <c r="A10" s="362" t="n">
        <v>1</v>
      </c>
      <c r="B10" s="362" t="n">
        <v>2</v>
      </c>
      <c r="C10" s="362" t="n">
        <v>3</v>
      </c>
      <c r="D10" s="362" t="n">
        <v>4</v>
      </c>
    </row>
    <row r="11" ht="31.5" customHeight="1" s="325">
      <c r="A11" s="362" t="inlineStr">
        <is>
          <t>К2-17-6</t>
        </is>
      </c>
      <c r="B11" s="362" t="inlineStr">
        <is>
          <t xml:space="preserve">УНЦ КЛ 6 - 500 кВ (с медной жилой) </t>
        </is>
      </c>
      <c r="C11" s="302">
        <f>D5</f>
        <v/>
      </c>
      <c r="D11" s="333">
        <f>'Прил.4 РМ'!C41/1000</f>
        <v/>
      </c>
    </row>
    <row r="13">
      <c r="A13" s="304" t="inlineStr">
        <is>
          <t>Составил ______________________    А.Р. Маркова</t>
        </is>
      </c>
      <c r="B13" s="305" t="n"/>
      <c r="C13" s="305" t="n"/>
      <c r="D13" s="306" t="n"/>
    </row>
    <row r="14">
      <c r="A14" s="307" t="inlineStr">
        <is>
          <t xml:space="preserve">                         (подпись, инициалы, фамилия)</t>
        </is>
      </c>
      <c r="B14" s="305" t="n"/>
      <c r="C14" s="305" t="n"/>
      <c r="D14" s="306" t="n"/>
    </row>
    <row r="15">
      <c r="A15" s="304" t="n"/>
      <c r="B15" s="305" t="n"/>
      <c r="C15" s="305" t="n"/>
      <c r="D15" s="306" t="n"/>
    </row>
    <row r="16">
      <c r="A16" s="304" t="inlineStr">
        <is>
          <t>Проверил ______________________        А.В. Костянецкая</t>
        </is>
      </c>
      <c r="B16" s="305" t="n"/>
      <c r="C16" s="305" t="n"/>
      <c r="D16" s="306" t="n"/>
    </row>
    <row r="17" ht="20.25" customHeight="1" s="325">
      <c r="A17" s="307" t="inlineStr">
        <is>
          <t xml:space="preserve">                        (подпись, инициалы, фамилия)</t>
        </is>
      </c>
      <c r="B17" s="305" t="n"/>
      <c r="C17" s="305" t="n"/>
      <c r="D17" s="306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S38" sqref="S38"/>
    </sheetView>
  </sheetViews>
  <sheetFormatPr baseColWidth="8" defaultColWidth="9.140625" defaultRowHeight="15"/>
  <cols>
    <col width="9.140625" customWidth="1" style="325" min="1" max="1"/>
    <col width="40.7109375" customWidth="1" style="325" min="2" max="2"/>
    <col width="37" customWidth="1" style="325" min="3" max="3"/>
    <col width="32" customWidth="1" style="325" min="4" max="4"/>
    <col width="9.140625" customWidth="1" style="325" min="5" max="5"/>
  </cols>
  <sheetData>
    <row r="4" ht="15.75" customHeight="1" s="325">
      <c r="B4" s="357" t="inlineStr">
        <is>
          <t>Приложение № 10</t>
        </is>
      </c>
    </row>
    <row r="5" ht="18.75" customHeight="1" s="325">
      <c r="B5" s="172" t="n"/>
    </row>
    <row r="6" ht="15.75" customHeight="1" s="325">
      <c r="B6" s="358" t="inlineStr">
        <is>
          <t>Используемые индексы изменений сметной стоимости и нормы сопутствующих затрат</t>
        </is>
      </c>
    </row>
    <row r="7">
      <c r="B7" s="396" t="n"/>
    </row>
    <row r="8">
      <c r="B8" s="396" t="n"/>
      <c r="C8" s="396" t="n"/>
      <c r="D8" s="396" t="n"/>
      <c r="E8" s="396" t="n"/>
    </row>
    <row r="9" ht="47.25" customHeight="1" s="325">
      <c r="B9" s="362" t="inlineStr">
        <is>
          <t>Наименование индекса / норм сопутствующих затрат</t>
        </is>
      </c>
      <c r="C9" s="362" t="inlineStr">
        <is>
          <t>Дата применения и обоснование индекса / норм сопутствующих затрат</t>
        </is>
      </c>
      <c r="D9" s="362" t="inlineStr">
        <is>
          <t>Размер индекса / норма сопутствующих затрат</t>
        </is>
      </c>
    </row>
    <row r="10" ht="15.75" customHeight="1" s="325">
      <c r="B10" s="362" t="n">
        <v>1</v>
      </c>
      <c r="C10" s="362" t="n">
        <v>2</v>
      </c>
      <c r="D10" s="362" t="n">
        <v>3</v>
      </c>
    </row>
    <row r="11" ht="45" customHeight="1" s="325">
      <c r="B11" s="362" t="inlineStr">
        <is>
          <t xml:space="preserve">Индекс изменения сметной стоимости на 1 квартал 2023 года. ОЗП </t>
        </is>
      </c>
      <c r="C11" s="362" t="inlineStr">
        <is>
          <t>Письмо Минстроя России от 30.03.2023г. №17106-ИФ/09  прил.1</t>
        </is>
      </c>
      <c r="D11" s="362" t="n">
        <v>44.29</v>
      </c>
    </row>
    <row r="12" ht="29.25" customHeight="1" s="325">
      <c r="B12" s="362" t="inlineStr">
        <is>
          <t>Индекс изменения сметной стоимости на 1 квартал 2023 года. ЭМ</t>
        </is>
      </c>
      <c r="C12" s="362" t="inlineStr">
        <is>
          <t>Письмо Минстроя России от 30.03.2023г. №17106-ИФ/09  прил.1</t>
        </is>
      </c>
      <c r="D12" s="362" t="n">
        <v>10.84</v>
      </c>
    </row>
    <row r="13" ht="29.25" customHeight="1" s="325">
      <c r="B13" s="362" t="inlineStr">
        <is>
          <t>Индекс изменения сметной стоимости на 1 квартал 2023 года. МАТ</t>
        </is>
      </c>
      <c r="C13" s="362" t="inlineStr">
        <is>
          <t>Письмо Минстроя России от 30.03.2023г. №17106-ИФ/09  прил.1</t>
        </is>
      </c>
      <c r="D13" s="362" t="n">
        <v>5.34</v>
      </c>
    </row>
    <row r="14" ht="30.75" customHeight="1" s="325">
      <c r="B14" s="362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2" t="n">
        <v>6.26</v>
      </c>
    </row>
    <row r="15" ht="89.25" customHeight="1" s="325">
      <c r="B15" s="362" t="inlineStr">
        <is>
          <t>Временные здания и сооружения</t>
        </is>
      </c>
      <c r="C15" s="362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25">
      <c r="B16" s="362" t="inlineStr">
        <is>
          <t>Дополнительные затраты при производстве строительно-монтажных работ в зимнее время</t>
        </is>
      </c>
      <c r="C16" s="36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5" customHeight="1" s="325">
      <c r="B17" s="362" t="inlineStr">
        <is>
          <t>Строительный контроль</t>
        </is>
      </c>
      <c r="C17" s="362" t="inlineStr">
        <is>
          <t>Постановление Правительства РФ от 21.06.10 г. № 468</t>
        </is>
      </c>
      <c r="D17" s="175" t="n">
        <v>0.0214</v>
      </c>
    </row>
    <row r="18" ht="31.5" customHeight="1" s="325">
      <c r="B18" s="362" t="inlineStr">
        <is>
          <t>Авторский надзор - 0,2%</t>
        </is>
      </c>
      <c r="C18" s="362" t="inlineStr">
        <is>
          <t>Приказ от 4.08.2020 № 421/пр п.173</t>
        </is>
      </c>
      <c r="D18" s="175" t="n">
        <v>0.002</v>
      </c>
    </row>
    <row r="19" ht="24" customHeight="1" s="325">
      <c r="B19" s="362" t="inlineStr">
        <is>
          <t>Непредвиденные расходы</t>
        </is>
      </c>
      <c r="C19" s="362" t="inlineStr">
        <is>
          <t>Приказ от 4.08.2020 № 421/пр п.179</t>
        </is>
      </c>
      <c r="D19" s="175" t="n">
        <v>0.03</v>
      </c>
    </row>
    <row r="20" ht="18.75" customHeight="1" s="325">
      <c r="B20" s="257" t="n"/>
    </row>
    <row r="21" ht="18.75" customHeight="1" s="325">
      <c r="B21" s="257" t="n"/>
    </row>
    <row r="22" ht="18.75" customHeight="1" s="325">
      <c r="B22" s="257" t="n"/>
    </row>
    <row r="23" ht="18.75" customHeight="1" s="325">
      <c r="B23" s="257" t="n"/>
    </row>
    <row r="26">
      <c r="B26" s="304" t="inlineStr">
        <is>
          <t>Составил ______________________        Е.А. Князева</t>
        </is>
      </c>
      <c r="C26" s="305" t="n"/>
    </row>
    <row r="27">
      <c r="B27" s="307" t="inlineStr">
        <is>
          <t xml:space="preserve">                         (подпись, инициалы, фамилия)</t>
        </is>
      </c>
      <c r="C27" s="305" t="n"/>
    </row>
    <row r="28">
      <c r="B28" s="304" t="n"/>
      <c r="C28" s="305" t="n"/>
    </row>
    <row r="29">
      <c r="B29" s="304" t="inlineStr">
        <is>
          <t>Проверил ______________________        А.В. Костянецкая</t>
        </is>
      </c>
      <c r="C29" s="305" t="n"/>
    </row>
    <row r="30">
      <c r="B30" s="307" t="inlineStr">
        <is>
          <t xml:space="preserve">                        (подпись, инициалы, фамилия)</t>
        </is>
      </c>
      <c r="C30" s="305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24" sqref="E24"/>
    </sheetView>
  </sheetViews>
  <sheetFormatPr baseColWidth="8" defaultColWidth="9.140625" defaultRowHeight="15"/>
  <cols>
    <col width="44.85546875" customWidth="1" style="325" min="2" max="2"/>
    <col width="13" customWidth="1" style="325" min="3" max="3"/>
    <col width="22.85546875" customWidth="1" style="325" min="4" max="4"/>
    <col width="21.5703125" customWidth="1" style="325" min="5" max="5"/>
    <col width="43.85546875" customWidth="1" style="325" min="6" max="6"/>
  </cols>
  <sheetData>
    <row r="1" s="325"/>
    <row r="2" ht="17.25" customHeight="1" s="325">
      <c r="A2" s="358" t="inlineStr">
        <is>
          <t>Расчет размера средств на оплату труда рабочих-строителей в текущем уровне цен (ФОТр.тек.)</t>
        </is>
      </c>
    </row>
    <row r="3" s="325"/>
    <row r="4" ht="18" customHeight="1" s="325">
      <c r="A4" s="326" t="inlineStr">
        <is>
          <t>Составлен в уровне цен на 01.01.2023 г.</t>
        </is>
      </c>
      <c r="B4" s="327" t="n"/>
      <c r="C4" s="327" t="n"/>
      <c r="D4" s="327" t="n"/>
      <c r="E4" s="327" t="n"/>
      <c r="F4" s="327" t="n"/>
      <c r="G4" s="327" t="n"/>
    </row>
    <row r="5" ht="15.75" customHeight="1" s="325">
      <c r="A5" s="328" t="inlineStr">
        <is>
          <t>№ пп.</t>
        </is>
      </c>
      <c r="B5" s="328" t="inlineStr">
        <is>
          <t>Наименование элемента</t>
        </is>
      </c>
      <c r="C5" s="328" t="inlineStr">
        <is>
          <t>Обозначение</t>
        </is>
      </c>
      <c r="D5" s="328" t="inlineStr">
        <is>
          <t>Формула</t>
        </is>
      </c>
      <c r="E5" s="328" t="inlineStr">
        <is>
          <t>Величина элемента</t>
        </is>
      </c>
      <c r="F5" s="328" t="inlineStr">
        <is>
          <t>Наименования обосновывающих документов</t>
        </is>
      </c>
      <c r="G5" s="327" t="n"/>
    </row>
    <row r="6" ht="15.75" customHeight="1" s="325">
      <c r="A6" s="328" t="n">
        <v>1</v>
      </c>
      <c r="B6" s="328" t="n">
        <v>2</v>
      </c>
      <c r="C6" s="328" t="n">
        <v>3</v>
      </c>
      <c r="D6" s="328" t="n">
        <v>4</v>
      </c>
      <c r="E6" s="328" t="n">
        <v>5</v>
      </c>
      <c r="F6" s="328" t="n">
        <v>6</v>
      </c>
      <c r="G6" s="327" t="n"/>
    </row>
    <row r="7" ht="110.25" customHeight="1" s="325">
      <c r="A7" s="329" t="inlineStr">
        <is>
          <t>1.1</t>
        </is>
      </c>
      <c r="B7" s="33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2" t="inlineStr">
        <is>
          <t>С1ср</t>
        </is>
      </c>
      <c r="D7" s="362" t="inlineStr">
        <is>
          <t>-</t>
        </is>
      </c>
      <c r="E7" s="332" t="n">
        <v>47872.94</v>
      </c>
      <c r="F7" s="33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7" t="n"/>
    </row>
    <row r="8" ht="31.5" customHeight="1" s="325">
      <c r="A8" s="329" t="inlineStr">
        <is>
          <t>1.2</t>
        </is>
      </c>
      <c r="B8" s="334" t="inlineStr">
        <is>
          <t>Среднегодовое нормативное число часов работы одного рабочего в месяц, часы (ч.)</t>
        </is>
      </c>
      <c r="C8" s="362" t="inlineStr">
        <is>
          <t>tср</t>
        </is>
      </c>
      <c r="D8" s="362" t="inlineStr">
        <is>
          <t>1973ч/12мес.</t>
        </is>
      </c>
      <c r="E8" s="333">
        <f>1973/12</f>
        <v/>
      </c>
      <c r="F8" s="334" t="inlineStr">
        <is>
          <t>Производственный календарь 2023 год
(40-часов.неделя)</t>
        </is>
      </c>
      <c r="G8" s="336" t="n"/>
    </row>
    <row r="9" ht="15.75" customHeight="1" s="325">
      <c r="A9" s="329" t="inlineStr">
        <is>
          <t>1.3</t>
        </is>
      </c>
      <c r="B9" s="334" t="inlineStr">
        <is>
          <t>Коэффициент увеличения</t>
        </is>
      </c>
      <c r="C9" s="362" t="inlineStr">
        <is>
          <t>Кув</t>
        </is>
      </c>
      <c r="D9" s="362" t="inlineStr">
        <is>
          <t>-</t>
        </is>
      </c>
      <c r="E9" s="333" t="n">
        <v>1</v>
      </c>
      <c r="F9" s="334" t="n"/>
      <c r="G9" s="336" t="n"/>
    </row>
    <row r="10" ht="15.75" customHeight="1" s="325">
      <c r="A10" s="329" t="inlineStr">
        <is>
          <t>1.4</t>
        </is>
      </c>
      <c r="B10" s="334" t="inlineStr">
        <is>
          <t>Средний разряд работ</t>
        </is>
      </c>
      <c r="C10" s="362" t="n"/>
      <c r="D10" s="362" t="n"/>
      <c r="E10" s="455" t="n">
        <v>4</v>
      </c>
      <c r="F10" s="334" t="inlineStr">
        <is>
          <t>РТМ</t>
        </is>
      </c>
      <c r="G10" s="336" t="n"/>
    </row>
    <row r="11" ht="78.75" customHeight="1" s="325">
      <c r="A11" s="329" t="inlineStr">
        <is>
          <t>1.5</t>
        </is>
      </c>
      <c r="B11" s="334" t="inlineStr">
        <is>
          <t>Тарифный коэффициент среднего разряда работ</t>
        </is>
      </c>
      <c r="C11" s="362" t="inlineStr">
        <is>
          <t>КТ</t>
        </is>
      </c>
      <c r="D11" s="362" t="inlineStr">
        <is>
          <t>-</t>
        </is>
      </c>
      <c r="E11" s="456" t="n">
        <v>1.34</v>
      </c>
      <c r="F11" s="33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7" t="n"/>
    </row>
    <row r="12" ht="78.75" customHeight="1" s="325">
      <c r="A12" s="329" t="inlineStr">
        <is>
          <t>1.6</t>
        </is>
      </c>
      <c r="B12" s="339" t="inlineStr">
        <is>
          <t>Коэффициент инфляции, определяемый поквартально</t>
        </is>
      </c>
      <c r="C12" s="362" t="inlineStr">
        <is>
          <t>Кинф</t>
        </is>
      </c>
      <c r="D12" s="362" t="inlineStr">
        <is>
          <t>-</t>
        </is>
      </c>
      <c r="E12" s="457" t="n">
        <v>1.139</v>
      </c>
      <c r="F12" s="3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6" t="n"/>
    </row>
    <row r="13" ht="63" customHeight="1" s="325">
      <c r="A13" s="342" t="inlineStr">
        <is>
          <t>1.7</t>
        </is>
      </c>
      <c r="B13" s="343" t="inlineStr">
        <is>
          <t>Размер средств на оплату труда рабочих-строителей в текущем уровне цен (ФОТр.тек.), руб/чел.-ч</t>
        </is>
      </c>
      <c r="C13" s="344" t="inlineStr">
        <is>
          <t>ФОТр.тек.</t>
        </is>
      </c>
      <c r="D13" s="344" t="inlineStr">
        <is>
          <t>(С1ср/tср*КТ*Т*Кув)*Кинф</t>
        </is>
      </c>
      <c r="E13" s="345">
        <f>((E7*E9/E8)*E11)*E12</f>
        <v/>
      </c>
      <c r="F13" s="3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7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2025-01-24T12:06:55Z</dcterms:modified>
  <cp:lastModifiedBy>REDMIBOOK</cp:lastModifiedBy>
  <cp:lastPrinted>2023-11-30T06:10:57Z</cp:lastPrinted>
</cp:coreProperties>
</file>