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" customHeight="1" s="212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6" t="inlineStr">
        <is>
          <t>Наименование разрабатываемого показателя УНЦ - КЛ 500 кВ (с медной жилой) сечение жилы 1600 мм2</t>
        </is>
      </c>
    </row>
    <row r="8" ht="31.5" customHeight="1" s="212">
      <c r="B8" s="246" t="inlineStr">
        <is>
          <t>Сопоставимый уровень цен: 01.01.2001</t>
        </is>
      </c>
    </row>
    <row r="9" ht="15.75" customHeight="1" s="212">
      <c r="B9" s="246" t="inlineStr">
        <is>
          <t>Единица измерения  — 1 км</t>
        </is>
      </c>
    </row>
    <row r="10">
      <c r="B10" s="246" t="n"/>
    </row>
    <row r="1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 xml:space="preserve">Объект-представитель </t>
        </is>
      </c>
      <c r="E11" s="152" t="n"/>
    </row>
    <row r="12" ht="96.75" customHeight="1" s="212">
      <c r="B12" s="249" t="n">
        <v>1</v>
      </c>
      <c r="C12" s="226" t="inlineStr">
        <is>
          <t>Наименование объекта-представителя</t>
        </is>
      </c>
      <c r="D12" s="249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9" t="n">
        <v>2</v>
      </c>
      <c r="C13" s="226" t="inlineStr">
        <is>
          <t>Наименование субъекта Российской Федерации</t>
        </is>
      </c>
      <c r="D13" s="249" t="inlineStr">
        <is>
          <t>Москва</t>
        </is>
      </c>
    </row>
    <row r="14">
      <c r="B14" s="249" t="n">
        <v>3</v>
      </c>
      <c r="C14" s="226" t="inlineStr">
        <is>
          <t>Климатический район и подрайон</t>
        </is>
      </c>
      <c r="D14" s="249" t="inlineStr">
        <is>
          <t>IIВ</t>
        </is>
      </c>
    </row>
    <row r="15">
      <c r="B15" s="249" t="n">
        <v>4</v>
      </c>
      <c r="C15" s="226" t="inlineStr">
        <is>
          <t>Мощность объекта</t>
        </is>
      </c>
      <c r="D15" s="249" t="n"/>
    </row>
    <row r="16" ht="116.25" customHeight="1" s="212">
      <c r="B16" s="24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500кВ 1х1600</t>
        </is>
      </c>
    </row>
    <row r="17" ht="79.5" customHeight="1" s="212">
      <c r="B17" s="24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7" t="n"/>
    </row>
    <row r="18">
      <c r="B18" s="151" t="inlineStr">
        <is>
          <t>6.1</t>
        </is>
      </c>
      <c r="C18" s="226" t="inlineStr">
        <is>
          <t>строительно-монтажные работы</t>
        </is>
      </c>
      <c r="D18" s="211" t="n">
        <v>3706.299425</v>
      </c>
    </row>
    <row r="19" ht="15.75" customHeight="1" s="212">
      <c r="B19" s="151" t="inlineStr">
        <is>
          <t>6.2</t>
        </is>
      </c>
      <c r="C19" s="226" t="inlineStr">
        <is>
          <t>оборудование и инвентарь</t>
        </is>
      </c>
      <c r="D19" s="249" t="inlineStr">
        <is>
          <t>-</t>
        </is>
      </c>
    </row>
    <row r="20" ht="16.5" customHeight="1" s="212">
      <c r="B20" s="151" t="inlineStr">
        <is>
          <t>6.3</t>
        </is>
      </c>
      <c r="C20" s="226" t="inlineStr">
        <is>
          <t>пусконаладочные работы</t>
        </is>
      </c>
      <c r="D20" s="249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9" t="inlineStr">
        <is>
          <t>-</t>
        </is>
      </c>
    </row>
    <row r="22">
      <c r="B22" s="249" t="n">
        <v>7</v>
      </c>
      <c r="C22" s="150" t="inlineStr">
        <is>
          <t>Сопоставимый уровень цен</t>
        </is>
      </c>
      <c r="D22" s="249" t="inlineStr">
        <is>
          <t>4 квартал 2016 г</t>
        </is>
      </c>
      <c r="E22" s="148" t="n"/>
    </row>
    <row r="23" ht="123" customHeight="1" s="212">
      <c r="B23" s="24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7" t="n"/>
    </row>
    <row r="24" ht="60.75" customHeight="1" s="212">
      <c r="B24" s="24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8" t="n"/>
    </row>
    <row r="25" ht="48" customHeight="1" s="212">
      <c r="B25" s="249" t="n">
        <v>10</v>
      </c>
      <c r="C25" s="226" t="inlineStr">
        <is>
          <t>Примечание</t>
        </is>
      </c>
      <c r="D25" s="249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G26" sqref="G26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40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44" t="inlineStr">
        <is>
          <t>Приложение № 2</t>
        </is>
      </c>
      <c r="K3" s="145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6">
        <f>'Прил.1 Сравнит табл'!B7:D7</f>
        <v/>
      </c>
    </row>
    <row r="7">
      <c r="B7" s="246">
        <f>'Прил.1 Сравнит табл'!B9:D9</f>
        <v/>
      </c>
    </row>
    <row r="8" ht="18.75" customHeight="1" s="212">
      <c r="B8" s="121" t="n"/>
    </row>
    <row r="9" ht="15.75" customHeight="1" s="212"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  <c r="K9" s="214" t="n"/>
      <c r="L9" s="214" t="n"/>
    </row>
    <row r="10" ht="15.75" customHeight="1" s="212">
      <c r="B10" s="329" t="n"/>
      <c r="C10" s="329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4 кв. 2016 г., тыс. руб.</t>
        </is>
      </c>
      <c r="G10" s="327" t="n"/>
      <c r="H10" s="327" t="n"/>
      <c r="I10" s="327" t="n"/>
      <c r="J10" s="328" t="n"/>
      <c r="K10" s="214" t="n"/>
      <c r="L10" s="214" t="n"/>
    </row>
    <row r="11" ht="51" customHeight="1" s="212">
      <c r="B11" s="330" t="n"/>
      <c r="C11" s="330" t="n"/>
      <c r="D11" s="330" t="n"/>
      <c r="E11" s="330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31" t="inlineStr">
        <is>
          <t>Кабель медный 500кВ 1х1600</t>
        </is>
      </c>
      <c r="D12" s="204" t="inlineStr">
        <is>
          <t>02-03-10</t>
        </is>
      </c>
      <c r="E12" s="226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2">
      <c r="B13" s="248" t="inlineStr">
        <is>
          <t>Всего по объекту:</t>
        </is>
      </c>
      <c r="C13" s="327" t="n"/>
      <c r="D13" s="327" t="n"/>
      <c r="E13" s="328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2">
      <c r="B14" s="248" t="inlineStr">
        <is>
          <t>Всего по объекту в сопоставимом уровне цен 4 кв. 2016 г. :</t>
        </is>
      </c>
      <c r="C14" s="327" t="n"/>
      <c r="D14" s="327" t="n"/>
      <c r="E14" s="328" t="n"/>
      <c r="F14" s="210" t="n"/>
      <c r="G14" s="210" t="n">
        <v>3706.299425</v>
      </c>
      <c r="H14" s="210" t="n"/>
      <c r="I14" s="210" t="n"/>
      <c r="J14" s="210" t="n">
        <v>3706.299425</v>
      </c>
      <c r="K14" s="214" t="n"/>
      <c r="L14" s="208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SheetLayoutView="100" workbookViewId="0">
      <selection activeCell="E33" sqref="E33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 s="212">
      <c r="A2" s="214" t="n"/>
      <c r="B2" s="214" t="n"/>
      <c r="C2" s="214" t="n"/>
      <c r="D2" s="214" t="n"/>
      <c r="E2" s="214" t="n"/>
      <c r="F2" s="214" t="n"/>
      <c r="G2" s="214" t="n"/>
      <c r="H2" s="214" t="n"/>
      <c r="I2" s="214" t="n"/>
      <c r="J2" s="214" t="n"/>
      <c r="K2" s="214" t="n"/>
      <c r="L2" s="214" t="n"/>
    </row>
    <row r="3">
      <c r="A3" s="244" t="inlineStr">
        <is>
          <t xml:space="preserve">Приложение № 3 </t>
        </is>
      </c>
    </row>
    <row r="4">
      <c r="A4" s="245" t="inlineStr">
        <is>
          <t>Объектная ресурсная ведомость</t>
        </is>
      </c>
    </row>
    <row r="5" ht="18.75" customHeight="1" s="212">
      <c r="A5" s="175" t="n"/>
      <c r="B5" s="175" t="n"/>
      <c r="C5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6" t="n"/>
    </row>
    <row r="7">
      <c r="A7" s="254" t="inlineStr">
        <is>
          <t>Наименование разрабатываемого показателя УНЦ -  КЛ 500 кВ (с медной жилой) сечение жилы 1600 мм2</t>
        </is>
      </c>
    </row>
    <row r="8">
      <c r="A8" s="254" t="n"/>
      <c r="B8" s="254" t="n"/>
      <c r="C8" s="254" t="n"/>
      <c r="D8" s="254" t="n"/>
      <c r="E8" s="254" t="n"/>
      <c r="F8" s="254" t="n"/>
      <c r="G8" s="254" t="n"/>
      <c r="H8" s="254" t="n"/>
    </row>
    <row r="9" ht="38.25" customHeight="1" s="212">
      <c r="A9" s="249" t="inlineStr">
        <is>
          <t>п/п</t>
        </is>
      </c>
      <c r="B9" s="249" t="inlineStr">
        <is>
          <t>№ЛСР</t>
        </is>
      </c>
      <c r="C9" s="249" t="inlineStr">
        <is>
          <t>Код ресурса</t>
        </is>
      </c>
      <c r="D9" s="249" t="inlineStr">
        <is>
          <t>Наименование ресурса</t>
        </is>
      </c>
      <c r="E9" s="249" t="inlineStr">
        <is>
          <t>Ед. изм.</t>
        </is>
      </c>
      <c r="F9" s="249" t="inlineStr">
        <is>
          <t>Кол-во единиц по данным объекта-представителя</t>
        </is>
      </c>
      <c r="G9" s="249" t="inlineStr">
        <is>
          <t>Сметная стоимость в ценах на 01.01.2000 (руб.)</t>
        </is>
      </c>
      <c r="H9" s="328" t="n"/>
    </row>
    <row r="10" ht="40.5" customHeight="1" s="212">
      <c r="A10" s="330" t="n"/>
      <c r="B10" s="330" t="n"/>
      <c r="C10" s="330" t="n"/>
      <c r="D10" s="330" t="n"/>
      <c r="E10" s="330" t="n"/>
      <c r="F10" s="330" t="n"/>
      <c r="G10" s="249" t="inlineStr">
        <is>
          <t>на ед.изм.</t>
        </is>
      </c>
      <c r="H10" s="249" t="inlineStr">
        <is>
          <t>общая</t>
        </is>
      </c>
    </row>
    <row r="11">
      <c r="A11" s="231" t="n">
        <v>1</v>
      </c>
      <c r="B11" s="231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231" t="n">
        <v>6</v>
      </c>
      <c r="H11" s="231" t="n">
        <v>7</v>
      </c>
    </row>
    <row r="12" customFormat="1" s="191">
      <c r="A12" s="251" t="inlineStr">
        <is>
          <t>Затраты труда рабочих</t>
        </is>
      </c>
      <c r="B12" s="327" t="n"/>
      <c r="C12" s="327" t="n"/>
      <c r="D12" s="327" t="n"/>
      <c r="E12" s="328" t="n"/>
      <c r="F12" s="331">
        <f>SUM(F13:F13)</f>
        <v/>
      </c>
      <c r="G12" s="10" t="n"/>
      <c r="H12" s="331">
        <f>SUM(H13:H13)</f>
        <v/>
      </c>
    </row>
    <row r="13">
      <c r="A13" s="281" t="n">
        <v>1</v>
      </c>
      <c r="B13" s="159" t="n"/>
      <c r="C13" s="137" t="inlineStr">
        <is>
          <t>1-4-0</t>
        </is>
      </c>
      <c r="D13" s="171" t="inlineStr">
        <is>
          <t>Затраты труда рабочих (средний разряд работы 4)</t>
        </is>
      </c>
      <c r="E13" s="281" t="inlineStr">
        <is>
          <t>чел.-ч</t>
        </is>
      </c>
      <c r="F13" s="260" t="n">
        <v>1515.8</v>
      </c>
      <c r="G13" s="332" t="n">
        <v>9.619999999999999</v>
      </c>
      <c r="H13" s="169">
        <f>ROUND(F13*G13,2)</f>
        <v/>
      </c>
      <c r="M13" s="333" t="n"/>
    </row>
    <row r="14">
      <c r="A14" s="250" t="inlineStr">
        <is>
          <t>Затраты труда машинистов</t>
        </is>
      </c>
      <c r="B14" s="327" t="n"/>
      <c r="C14" s="327" t="n"/>
      <c r="D14" s="327" t="n"/>
      <c r="E14" s="328" t="n"/>
      <c r="F14" s="251" t="n"/>
      <c r="G14" s="157" t="n"/>
      <c r="H14" s="331">
        <f>H15</f>
        <v/>
      </c>
    </row>
    <row r="15">
      <c r="A15" s="281" t="n">
        <v>2</v>
      </c>
      <c r="B15" s="252" t="n"/>
      <c r="C15" s="177" t="n">
        <v>2</v>
      </c>
      <c r="D15" s="171" t="inlineStr">
        <is>
          <t>Затраты труда машинистов</t>
        </is>
      </c>
      <c r="E15" s="281" t="inlineStr">
        <is>
          <t>чел.-ч</t>
        </is>
      </c>
      <c r="F15" s="281" t="n">
        <v>104.5</v>
      </c>
      <c r="G15" s="169" t="n"/>
      <c r="H15" s="332" t="n">
        <v>1228.7</v>
      </c>
    </row>
    <row r="16" customFormat="1" s="191">
      <c r="A16" s="251" t="inlineStr">
        <is>
          <t>Машины и механизмы</t>
        </is>
      </c>
      <c r="B16" s="327" t="n"/>
      <c r="C16" s="327" t="n"/>
      <c r="D16" s="327" t="n"/>
      <c r="E16" s="328" t="n"/>
      <c r="F16" s="251" t="n"/>
      <c r="G16" s="157" t="n"/>
      <c r="H16" s="331">
        <f>SUM(H17:H26)</f>
        <v/>
      </c>
    </row>
    <row r="17" ht="25.5" customHeight="1" s="212">
      <c r="A17" s="281" t="n">
        <v>3</v>
      </c>
      <c r="B17" s="252" t="n"/>
      <c r="C17" s="177" t="inlineStr">
        <is>
          <t>91.05.05-018</t>
        </is>
      </c>
      <c r="D17" s="171" t="inlineStr">
        <is>
          <t>Краны на автомобильном ходу, грузоподъемность 63 т</t>
        </is>
      </c>
      <c r="E17" s="281" t="inlineStr">
        <is>
          <t>маш.час</t>
        </is>
      </c>
      <c r="F17" s="281" t="n">
        <v>19.9</v>
      </c>
      <c r="G17" s="178" t="n">
        <v>823.23</v>
      </c>
      <c r="H17" s="169">
        <f>ROUND(F17*G17,2)</f>
        <v/>
      </c>
      <c r="I17" s="173" t="n"/>
      <c r="J17" s="173" t="n"/>
      <c r="L17" s="173" t="n"/>
    </row>
    <row r="18" ht="25.5" customFormat="1" customHeight="1" s="191">
      <c r="A18" s="281" t="n">
        <v>4</v>
      </c>
      <c r="B18" s="252" t="n"/>
      <c r="C18" s="177" t="inlineStr">
        <is>
          <t>91.06.03-012</t>
        </is>
      </c>
      <c r="D18" s="171" t="inlineStr">
        <is>
          <t>Лебедки-прицепы гидравлические для протяжки кабеля, тяговое усилие 10 т</t>
        </is>
      </c>
      <c r="E18" s="281" t="inlineStr">
        <is>
          <t>маш.час</t>
        </is>
      </c>
      <c r="F18" s="281" t="n">
        <v>34.5</v>
      </c>
      <c r="G18" s="178" t="n">
        <v>244.95</v>
      </c>
      <c r="H18" s="169">
        <f>ROUND(F18*G18,2)</f>
        <v/>
      </c>
      <c r="I18" s="173" t="n"/>
      <c r="J18" s="173" t="n"/>
      <c r="K18" s="184" t="n"/>
      <c r="L18" s="173" t="n"/>
    </row>
    <row r="19">
      <c r="A19" s="281" t="n">
        <v>5</v>
      </c>
      <c r="B19" s="252" t="n"/>
      <c r="C19" s="177" t="inlineStr">
        <is>
          <t>91.14.04-003</t>
        </is>
      </c>
      <c r="D19" s="171" t="inlineStr">
        <is>
          <t>Тягачи седельные, грузоподъемность 30 т</t>
        </is>
      </c>
      <c r="E19" s="281" t="inlineStr">
        <is>
          <t>маш.час</t>
        </is>
      </c>
      <c r="F19" s="281" t="n">
        <v>16.7</v>
      </c>
      <c r="G19" s="178" t="n">
        <v>120.31</v>
      </c>
      <c r="H19" s="169">
        <f>ROUND(F19*G19,2)</f>
        <v/>
      </c>
      <c r="I19" s="173" t="n"/>
      <c r="J19" s="173" t="n"/>
      <c r="L19" s="173" t="n"/>
    </row>
    <row r="20" ht="25.5" customHeight="1" s="212">
      <c r="A20" s="281" t="n">
        <v>6</v>
      </c>
      <c r="B20" s="252" t="n"/>
      <c r="C20" s="177" t="inlineStr">
        <is>
          <t>91.05.13-001</t>
        </is>
      </c>
      <c r="D20" s="171" t="inlineStr">
        <is>
          <t>Автомобили бортовые, грузоподъемность до 6 т, с краном-манипулятором-4,0 т</t>
        </is>
      </c>
      <c r="E20" s="281" t="inlineStr">
        <is>
          <t>маш.час</t>
        </is>
      </c>
      <c r="F20" s="281" t="n">
        <v>2.2</v>
      </c>
      <c r="G20" s="178" t="n">
        <v>288.03</v>
      </c>
      <c r="H20" s="169">
        <f>ROUND(F20*G20,2)</f>
        <v/>
      </c>
      <c r="I20" s="173" t="n"/>
      <c r="J20" s="173" t="n"/>
      <c r="L20" s="173" t="n"/>
    </row>
    <row r="21" ht="25.5" customHeight="1" s="212">
      <c r="A21" s="281" t="n">
        <v>7</v>
      </c>
      <c r="B21" s="252" t="n"/>
      <c r="C21" s="177" t="inlineStr">
        <is>
          <t>91.11.01-021</t>
        </is>
      </c>
      <c r="D21" s="171" t="inlineStr">
        <is>
          <t>Устройства подталкивающие для протяжки кабеля, тяговое усилие 800 кг</t>
        </is>
      </c>
      <c r="E21" s="281" t="inlineStr">
        <is>
          <t>маш.час</t>
        </is>
      </c>
      <c r="F21" s="281" t="n">
        <v>24.6</v>
      </c>
      <c r="G21" s="178" t="n">
        <v>25.37</v>
      </c>
      <c r="H21" s="169">
        <f>ROUND(F21*G21,2)</f>
        <v/>
      </c>
      <c r="I21" s="173" t="n"/>
      <c r="J21" s="173" t="n"/>
      <c r="L21" s="173" t="n"/>
    </row>
    <row r="22">
      <c r="A22" s="281" t="n">
        <v>8</v>
      </c>
      <c r="B22" s="252" t="n"/>
      <c r="C22" s="177" t="inlineStr">
        <is>
          <t>91.14.05-002</t>
        </is>
      </c>
      <c r="D22" s="171" t="inlineStr">
        <is>
          <t>Полуприцепы-тяжеловозы, грузоподъемность 40 т</t>
        </is>
      </c>
      <c r="E22" s="281" t="inlineStr">
        <is>
          <t>маш.час</t>
        </is>
      </c>
      <c r="F22" s="281" t="n">
        <v>16.7</v>
      </c>
      <c r="G22" s="178" t="n">
        <v>28.65</v>
      </c>
      <c r="H22" s="169">
        <f>ROUND(F22*G22,2)</f>
        <v/>
      </c>
      <c r="I22" s="173" t="n"/>
      <c r="J22" s="173" t="n"/>
      <c r="L22" s="173" t="n"/>
    </row>
    <row r="23">
      <c r="A23" s="281" t="n">
        <v>9</v>
      </c>
      <c r="B23" s="252" t="n"/>
      <c r="C23" s="177" t="inlineStr">
        <is>
          <t>91.16.01-002</t>
        </is>
      </c>
      <c r="D23" s="171" t="inlineStr">
        <is>
          <t>Электростанции передвижные, мощность 4 кВт</t>
        </is>
      </c>
      <c r="E23" s="281" t="inlineStr">
        <is>
          <t>маш.час</t>
        </is>
      </c>
      <c r="F23" s="281" t="n">
        <v>11.3</v>
      </c>
      <c r="G23" s="178" t="n">
        <v>27.11</v>
      </c>
      <c r="H23" s="169">
        <f>ROUND(F23*G23,2)</f>
        <v/>
      </c>
      <c r="I23" s="173" t="n"/>
      <c r="J23" s="173" t="n"/>
    </row>
    <row r="24">
      <c r="A24" s="281" t="n">
        <v>10</v>
      </c>
      <c r="B24" s="252" t="n"/>
      <c r="C24" s="177" t="inlineStr">
        <is>
          <t>91.17.04-091</t>
        </is>
      </c>
      <c r="D24" s="171" t="inlineStr">
        <is>
          <t>Горелки газовые инжекторные</t>
        </is>
      </c>
      <c r="E24" s="281" t="inlineStr">
        <is>
          <t>маш.час</t>
        </is>
      </c>
      <c r="F24" s="281" t="n">
        <v>11.3</v>
      </c>
      <c r="G24" s="178" t="n">
        <v>13.5</v>
      </c>
      <c r="H24" s="169">
        <f>ROUND(F24*G24,2)</f>
        <v/>
      </c>
      <c r="J24" s="173" t="n"/>
    </row>
    <row r="25">
      <c r="A25" s="281" t="n">
        <v>11</v>
      </c>
      <c r="B25" s="252" t="n"/>
      <c r="C25" s="177" t="inlineStr">
        <is>
          <t>91.21.15-022</t>
        </is>
      </c>
      <c r="D25" s="171" t="inlineStr">
        <is>
          <t>Пилы ленточные с поворотной пилорамой</t>
        </is>
      </c>
      <c r="E25" s="281" t="inlineStr">
        <is>
          <t>маш.час</t>
        </is>
      </c>
      <c r="F25" s="281" t="n">
        <v>11.3</v>
      </c>
      <c r="G25" s="178" t="n">
        <v>3.31</v>
      </c>
      <c r="H25" s="169">
        <f>ROUND(F25*G25,2)</f>
        <v/>
      </c>
      <c r="J25" s="173" t="n"/>
    </row>
    <row r="26">
      <c r="A26" s="281" t="n">
        <v>12</v>
      </c>
      <c r="B26" s="252" t="n"/>
      <c r="C26" s="177" t="inlineStr">
        <is>
          <t>91.06.01-002</t>
        </is>
      </c>
      <c r="D26" s="171" t="inlineStr">
        <is>
          <t>Домкраты гидравлические, грузоподъемность 6,3-25 т</t>
        </is>
      </c>
      <c r="E26" s="281" t="inlineStr">
        <is>
          <t>маш.час</t>
        </is>
      </c>
      <c r="F26" s="281" t="n">
        <v>57.3</v>
      </c>
      <c r="G26" s="178" t="n">
        <v>0.48</v>
      </c>
      <c r="H26" s="169">
        <f>ROUND(F26*G26,2)</f>
        <v/>
      </c>
      <c r="J26" s="173" t="n"/>
    </row>
    <row r="27">
      <c r="A27" s="251" t="inlineStr">
        <is>
          <t>Материалы</t>
        </is>
      </c>
      <c r="B27" s="327" t="n"/>
      <c r="C27" s="327" t="n"/>
      <c r="D27" s="327" t="n"/>
      <c r="E27" s="328" t="n"/>
      <c r="F27" s="251" t="n"/>
      <c r="G27" s="157" t="n"/>
      <c r="H27" s="331">
        <f>SUM(H28:H29)</f>
        <v/>
      </c>
    </row>
    <row r="28">
      <c r="A28" s="182" t="n">
        <v>13</v>
      </c>
      <c r="B28" s="182" t="n"/>
      <c r="C28" s="281" t="inlineStr">
        <is>
          <t>Прайс из СД ОП</t>
        </is>
      </c>
      <c r="D28" s="181" t="inlineStr">
        <is>
          <t>Кабель медный 500кВ 1х1600</t>
        </is>
      </c>
      <c r="E28" s="281" t="inlineStr">
        <is>
          <t>км</t>
        </is>
      </c>
      <c r="F28" s="281" t="n">
        <v>3.3</v>
      </c>
      <c r="G28" s="181" t="n">
        <v>14724758.51</v>
      </c>
      <c r="H28" s="169" t="n">
        <v>48591703.08</v>
      </c>
    </row>
    <row r="29">
      <c r="A29" s="182" t="n">
        <v>14</v>
      </c>
      <c r="B29" s="252" t="n"/>
      <c r="C29" s="177" t="inlineStr">
        <is>
          <t>01.3.02.09-0022</t>
        </is>
      </c>
      <c r="D29" s="171" t="inlineStr">
        <is>
          <t>Пропан-бутан смесь техническая</t>
        </is>
      </c>
      <c r="E29" s="281" t="inlineStr">
        <is>
          <t>кг</t>
        </is>
      </c>
      <c r="F29" s="281" t="n">
        <v>3.617</v>
      </c>
      <c r="G29" s="169" t="n">
        <v>6.09</v>
      </c>
      <c r="H29" s="169" t="n">
        <v>22.03</v>
      </c>
      <c r="I29" s="166" t="n"/>
      <c r="J29" s="173" t="n"/>
      <c r="K29" s="173" t="n"/>
    </row>
    <row r="32">
      <c r="B32" s="214" t="inlineStr">
        <is>
          <t>Составил ______________________     А.Р. Маркова</t>
        </is>
      </c>
    </row>
    <row r="33">
      <c r="B33" s="145" t="inlineStr">
        <is>
          <t xml:space="preserve">                         (подпись, инициалы, фамилия)</t>
        </is>
      </c>
    </row>
    <row r="35">
      <c r="B35" s="214" t="inlineStr">
        <is>
          <t>Проверил ______________________        А.В. Костянецкая</t>
        </is>
      </c>
    </row>
    <row r="36">
      <c r="B36" s="145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F52" sqref="F52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6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34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43" t="inlineStr">
        <is>
          <t>Наименование разрабатываемого показателя УНЦ — КЛ 500 кВ (с медной жилой) сечение жилы 1600 мм2</t>
        </is>
      </c>
    </row>
    <row r="8">
      <c r="B8" s="256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ОБ'!J36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6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85" zoomScaleSheetLayoutView="85" workbookViewId="0">
      <selection activeCell="Q35" sqref="Q35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57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34" t="inlineStr">
        <is>
          <t>Расчет стоимости СМР и оборудования</t>
        </is>
      </c>
    </row>
    <row r="5" ht="12.75" customFormat="1" customHeight="1" s="196">
      <c r="A5" s="234" t="n"/>
      <c r="B5" s="234" t="n"/>
      <c r="C5" s="284" t="n"/>
      <c r="D5" s="234" t="n"/>
      <c r="E5" s="234" t="n"/>
      <c r="F5" s="234" t="n"/>
      <c r="G5" s="234" t="n"/>
      <c r="H5" s="234" t="n"/>
      <c r="I5" s="234" t="n"/>
      <c r="J5" s="234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3" t="inlineStr">
        <is>
          <t>КЛ 500 кВ (с медной жилой) сечение жилы 1600 мм2</t>
        </is>
      </c>
    </row>
    <row r="7" ht="12.75" customFormat="1" customHeight="1" s="196">
      <c r="A7" s="237" t="inlineStr">
        <is>
          <t>Единица измерения  — 1 км</t>
        </is>
      </c>
      <c r="I7" s="243" t="n"/>
      <c r="J7" s="243" t="n"/>
    </row>
    <row r="8" ht="13.5" customFormat="1" customHeight="1" s="196">
      <c r="A8" s="237" t="n"/>
    </row>
    <row r="9" ht="27" customHeight="1" s="212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28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28" t="n"/>
      <c r="M9" s="197" t="n"/>
      <c r="N9" s="197" t="n"/>
    </row>
    <row r="10" ht="28.5" customHeight="1" s="212">
      <c r="A10" s="330" t="n"/>
      <c r="B10" s="330" t="n"/>
      <c r="C10" s="330" t="n"/>
      <c r="D10" s="330" t="n"/>
      <c r="E10" s="330" t="n"/>
      <c r="F10" s="260" t="inlineStr">
        <is>
          <t>на ед. изм.</t>
        </is>
      </c>
      <c r="G10" s="260" t="inlineStr">
        <is>
          <t>общая</t>
        </is>
      </c>
      <c r="H10" s="330" t="n"/>
      <c r="I10" s="260" t="inlineStr">
        <is>
          <t>на ед. изм.</t>
        </is>
      </c>
      <c r="J10" s="260" t="inlineStr">
        <is>
          <t>общая</t>
        </is>
      </c>
      <c r="M10" s="197" t="n"/>
      <c r="N10" s="197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61" t="n">
        <v>9</v>
      </c>
      <c r="J11" s="261" t="n">
        <v>10</v>
      </c>
      <c r="M11" s="197" t="n"/>
      <c r="N11" s="197" t="n"/>
    </row>
    <row r="12">
      <c r="A12" s="260" t="n"/>
      <c r="B12" s="250" t="inlineStr">
        <is>
          <t>Затраты труда рабочих-строителей</t>
        </is>
      </c>
      <c r="C12" s="327" t="n"/>
      <c r="D12" s="327" t="n"/>
      <c r="E12" s="327" t="n"/>
      <c r="F12" s="327" t="n"/>
      <c r="G12" s="327" t="n"/>
      <c r="H12" s="328" t="n"/>
      <c r="I12" s="127" t="n"/>
      <c r="J12" s="127" t="n"/>
    </row>
    <row r="13" ht="25.5" customHeight="1" s="212">
      <c r="A13" s="260" t="n">
        <v>1</v>
      </c>
      <c r="B13" s="137" t="inlineStr">
        <is>
          <t>1-4-0</t>
        </is>
      </c>
      <c r="C13" s="268" t="inlineStr">
        <is>
          <t>Затраты труда рабочих-строителей среднего разряда (4,0)</t>
        </is>
      </c>
      <c r="D13" s="260" t="inlineStr">
        <is>
          <t>чел.-ч.</t>
        </is>
      </c>
      <c r="E13" s="335">
        <f>G13/F13</f>
        <v/>
      </c>
      <c r="F13" s="32" t="n">
        <v>9.619999999999999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97">
      <c r="A14" s="260" t="n"/>
      <c r="B14" s="260" t="n"/>
      <c r="C14" s="250" t="inlineStr">
        <is>
          <t>Итого по разделу "Затраты труда рабочих-строителей"</t>
        </is>
      </c>
      <c r="D14" s="260" t="inlineStr">
        <is>
          <t>чел.-ч.</t>
        </is>
      </c>
      <c r="E14" s="335">
        <f>SUM(E13:E13)</f>
        <v/>
      </c>
      <c r="F14" s="32" t="n"/>
      <c r="G14" s="32">
        <f>SUM(G13:G13)</f>
        <v/>
      </c>
      <c r="H14" s="271" t="n">
        <v>1</v>
      </c>
      <c r="I14" s="127" t="n"/>
      <c r="J14" s="32">
        <f>SUM(J13:J13)</f>
        <v/>
      </c>
    </row>
    <row r="15" ht="14.25" customFormat="1" customHeight="1" s="197">
      <c r="A15" s="260" t="n"/>
      <c r="B15" s="268" t="inlineStr">
        <is>
          <t>Затраты труда машинистов</t>
        </is>
      </c>
      <c r="C15" s="327" t="n"/>
      <c r="D15" s="327" t="n"/>
      <c r="E15" s="327" t="n"/>
      <c r="F15" s="327" t="n"/>
      <c r="G15" s="327" t="n"/>
      <c r="H15" s="328" t="n"/>
      <c r="I15" s="127" t="n"/>
      <c r="J15" s="127" t="n"/>
    </row>
    <row r="16" ht="14.25" customFormat="1" customHeight="1" s="197">
      <c r="A16" s="260" t="n">
        <v>2</v>
      </c>
      <c r="B16" s="260" t="n">
        <v>2</v>
      </c>
      <c r="C16" s="268" t="inlineStr">
        <is>
          <t>Затраты труда машинистов</t>
        </is>
      </c>
      <c r="D16" s="260" t="inlineStr">
        <is>
          <t>чел.-ч.</t>
        </is>
      </c>
      <c r="E16" s="335" t="n">
        <v>104.5</v>
      </c>
      <c r="F16" s="32">
        <f>G16/E16</f>
        <v/>
      </c>
      <c r="G16" s="32">
        <f>Прил.3!H14</f>
        <v/>
      </c>
      <c r="H16" s="271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97">
      <c r="A17" s="260" t="n"/>
      <c r="B17" s="250" t="inlineStr">
        <is>
          <t>Машины и механизмы</t>
        </is>
      </c>
      <c r="C17" s="327" t="n"/>
      <c r="D17" s="327" t="n"/>
      <c r="E17" s="327" t="n"/>
      <c r="F17" s="327" t="n"/>
      <c r="G17" s="327" t="n"/>
      <c r="H17" s="328" t="n"/>
      <c r="I17" s="127" t="n"/>
      <c r="J17" s="127" t="n"/>
    </row>
    <row r="18" ht="14.25" customFormat="1" customHeight="1" s="197">
      <c r="A18" s="260" t="n"/>
      <c r="B18" s="268" t="inlineStr">
        <is>
          <t>Основные 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7" t="n"/>
      <c r="J18" s="127" t="n"/>
    </row>
    <row r="19" ht="25.5" customFormat="1" customHeight="1" s="197">
      <c r="A19" s="260" t="n">
        <v>3</v>
      </c>
      <c r="B19" s="177" t="inlineStr">
        <is>
          <t>91.05.05-018</t>
        </is>
      </c>
      <c r="C19" s="171" t="inlineStr">
        <is>
          <t>Краны на автомобильном ходу, грузоподъемность 63 т</t>
        </is>
      </c>
      <c r="D19" s="281" t="inlineStr">
        <is>
          <t>маш.час</t>
        </is>
      </c>
      <c r="E19" s="336" t="n">
        <v>19.9</v>
      </c>
      <c r="F19" s="178" t="n">
        <v>823.23</v>
      </c>
      <c r="G19" s="32">
        <f>ROUND(E19*F19,2)</f>
        <v/>
      </c>
      <c r="H19" s="130">
        <f>G19/$G$31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97">
      <c r="A20" s="260" t="n">
        <v>4</v>
      </c>
      <c r="B20" s="177" t="inlineStr">
        <is>
          <t>91.06.03-012</t>
        </is>
      </c>
      <c r="C20" s="171" t="inlineStr">
        <is>
          <t>Лебедки-прицепы гидравлические для протяжки кабеля, тяговое усилие 10 т</t>
        </is>
      </c>
      <c r="D20" s="281" t="inlineStr">
        <is>
          <t>маш.час</t>
        </is>
      </c>
      <c r="E20" s="336" t="n">
        <v>34.5</v>
      </c>
      <c r="F20" s="178" t="n">
        <v>244.95</v>
      </c>
      <c r="G20" s="32">
        <f>ROUND(E20*F20,2)</f>
        <v/>
      </c>
      <c r="H20" s="130">
        <f>G20/$G$31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97">
      <c r="A21" s="260" t="n"/>
      <c r="B21" s="260" t="n"/>
      <c r="C21" s="268" t="inlineStr">
        <is>
          <t>Итого основные машины и механизмы</t>
        </is>
      </c>
      <c r="D21" s="260" t="n"/>
      <c r="E21" s="335" t="n"/>
      <c r="F21" s="32" t="n"/>
      <c r="G21" s="32">
        <f>SUM(G19:G20)</f>
        <v/>
      </c>
      <c r="H21" s="271">
        <f>G21/G31</f>
        <v/>
      </c>
      <c r="I21" s="129" t="n"/>
      <c r="J21" s="32">
        <f>SUM(J19:J20)</f>
        <v/>
      </c>
    </row>
    <row r="22" hidden="1" outlineLevel="1" ht="14.25" customFormat="1" customHeight="1" s="197">
      <c r="A22" s="260" t="n">
        <v>5</v>
      </c>
      <c r="B22" s="177" t="inlineStr">
        <is>
          <t>91.14.04-003</t>
        </is>
      </c>
      <c r="C22" s="171" t="inlineStr">
        <is>
          <t>Тягачи седельные, грузоподъемность 30 т</t>
        </is>
      </c>
      <c r="D22" s="281" t="inlineStr">
        <is>
          <t>маш.час</t>
        </is>
      </c>
      <c r="E22" s="281" t="n">
        <v>16.7</v>
      </c>
      <c r="F22" s="178" t="n">
        <v>120.31</v>
      </c>
      <c r="G22" s="32">
        <f>ROUND(E22*F22,2)</f>
        <v/>
      </c>
      <c r="H22" s="130">
        <f>G22/$G$31</f>
        <v/>
      </c>
      <c r="I22" s="32">
        <f>ROUND(F22*Прил.10!$D$12,2)</f>
        <v/>
      </c>
      <c r="J22" s="32">
        <f>ROUND(I22*E22,2)</f>
        <v/>
      </c>
    </row>
    <row r="23" hidden="1" outlineLevel="1" ht="25.5" customFormat="1" customHeight="1" s="197">
      <c r="A23" s="260" t="n">
        <v>6</v>
      </c>
      <c r="B23" s="177" t="inlineStr">
        <is>
          <t>91.05.13-001</t>
        </is>
      </c>
      <c r="C23" s="171" t="inlineStr">
        <is>
          <t>Автомобили бортовые, грузоподъемность до 6 т, с краном-манипулятором-4,0 т</t>
        </is>
      </c>
      <c r="D23" s="281" t="inlineStr">
        <is>
          <t>маш.час</t>
        </is>
      </c>
      <c r="E23" s="281" t="n">
        <v>2.2</v>
      </c>
      <c r="F23" s="178" t="n">
        <v>288.03</v>
      </c>
      <c r="G23" s="32">
        <f>ROUND(E23*F23,2)</f>
        <v/>
      </c>
      <c r="H23" s="130">
        <f>G23/$G$31</f>
        <v/>
      </c>
      <c r="I23" s="32">
        <f>ROUND(F23*Прил.10!$D$12,2)</f>
        <v/>
      </c>
      <c r="J23" s="32">
        <f>ROUND(I23*E23,2)</f>
        <v/>
      </c>
    </row>
    <row r="24" hidden="1" outlineLevel="1" ht="25.5" customFormat="1" customHeight="1" s="197">
      <c r="A24" s="260" t="n">
        <v>7</v>
      </c>
      <c r="B24" s="177" t="inlineStr">
        <is>
          <t>91.11.01-021</t>
        </is>
      </c>
      <c r="C24" s="171" t="inlineStr">
        <is>
          <t>Устройства подталкивающие для протяжки кабеля, тяговое усилие 800 кг</t>
        </is>
      </c>
      <c r="D24" s="281" t="inlineStr">
        <is>
          <t>маш.час</t>
        </is>
      </c>
      <c r="E24" s="281" t="n">
        <v>24.6</v>
      </c>
      <c r="F24" s="178" t="n">
        <v>25.37</v>
      </c>
      <c r="G24" s="32">
        <f>ROUND(E24*F24,2)</f>
        <v/>
      </c>
      <c r="H24" s="130">
        <f>G24/$G$31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97">
      <c r="A25" s="260" t="n">
        <v>8</v>
      </c>
      <c r="B25" s="177" t="inlineStr">
        <is>
          <t>91.14.05-002</t>
        </is>
      </c>
      <c r="C25" s="171" t="inlineStr">
        <is>
          <t>Полуприцепы-тяжеловозы, грузоподъемность 40 т</t>
        </is>
      </c>
      <c r="D25" s="281" t="inlineStr">
        <is>
          <t>маш.час</t>
        </is>
      </c>
      <c r="E25" s="281" t="n">
        <v>16.7</v>
      </c>
      <c r="F25" s="178" t="n">
        <v>28.65</v>
      </c>
      <c r="G25" s="32">
        <f>ROUND(E25*F25,2)</f>
        <v/>
      </c>
      <c r="H25" s="130">
        <f>G25/$G$31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97">
      <c r="A26" s="260" t="n">
        <v>9</v>
      </c>
      <c r="B26" s="177" t="inlineStr">
        <is>
          <t>91.16.01-002</t>
        </is>
      </c>
      <c r="C26" s="171" t="inlineStr">
        <is>
          <t>Электростанции передвижные, мощность 4 кВт</t>
        </is>
      </c>
      <c r="D26" s="281" t="inlineStr">
        <is>
          <t>маш.час</t>
        </is>
      </c>
      <c r="E26" s="281" t="n">
        <v>11.3</v>
      </c>
      <c r="F26" s="178" t="n">
        <v>27.11</v>
      </c>
      <c r="G26" s="32">
        <f>ROUND(E26*F26,2)</f>
        <v/>
      </c>
      <c r="H26" s="130">
        <f>G26/$G$31</f>
        <v/>
      </c>
      <c r="I26" s="32">
        <f>ROUND(F26*Прил.10!$D$12,2)</f>
        <v/>
      </c>
      <c r="J26" s="32">
        <f>ROUND(I26*E26,2)</f>
        <v/>
      </c>
    </row>
    <row r="27" hidden="1" outlineLevel="1" ht="14.25" customFormat="1" customHeight="1" s="197">
      <c r="A27" s="260" t="n">
        <v>10</v>
      </c>
      <c r="B27" s="177" t="inlineStr">
        <is>
          <t>91.17.04-091</t>
        </is>
      </c>
      <c r="C27" s="171" t="inlineStr">
        <is>
          <t>Горелки газовые инжекторные</t>
        </is>
      </c>
      <c r="D27" s="281" t="inlineStr">
        <is>
          <t>маш.час</t>
        </is>
      </c>
      <c r="E27" s="281" t="n">
        <v>11.3</v>
      </c>
      <c r="F27" s="178" t="n">
        <v>13.5</v>
      </c>
      <c r="G27" s="32">
        <f>ROUND(E27*F27,2)</f>
        <v/>
      </c>
      <c r="H27" s="130">
        <f>G27/$G$31</f>
        <v/>
      </c>
      <c r="I27" s="32">
        <f>ROUND(F27*Прил.10!$D$12,2)</f>
        <v/>
      </c>
      <c r="J27" s="32">
        <f>ROUND(I27*E27,2)</f>
        <v/>
      </c>
    </row>
    <row r="28" hidden="1" outlineLevel="1" ht="14.25" customFormat="1" customHeight="1" s="197">
      <c r="A28" s="260" t="n">
        <v>11</v>
      </c>
      <c r="B28" s="177" t="inlineStr">
        <is>
          <t>91.21.15-022</t>
        </is>
      </c>
      <c r="C28" s="171" t="inlineStr">
        <is>
          <t>Пилы ленточные с поворотной пилорамой</t>
        </is>
      </c>
      <c r="D28" s="281" t="inlineStr">
        <is>
          <t>маш.час</t>
        </is>
      </c>
      <c r="E28" s="281" t="n">
        <v>11.3</v>
      </c>
      <c r="F28" s="178" t="n">
        <v>3.31</v>
      </c>
      <c r="G28" s="32">
        <f>ROUND(E28*F28,2)</f>
        <v/>
      </c>
      <c r="H28" s="130">
        <f>G28/$G$31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97">
      <c r="A29" s="260" t="n">
        <v>12</v>
      </c>
      <c r="B29" s="177" t="inlineStr">
        <is>
          <t>91.06.01-002</t>
        </is>
      </c>
      <c r="C29" s="171" t="inlineStr">
        <is>
          <t>Домкраты гидравлические, грузоподъемность 6,3-25 т</t>
        </is>
      </c>
      <c r="D29" s="281" t="inlineStr">
        <is>
          <t>маш.час</t>
        </is>
      </c>
      <c r="E29" s="281" t="n">
        <v>57.3</v>
      </c>
      <c r="F29" s="178" t="n">
        <v>0.48</v>
      </c>
      <c r="G29" s="32">
        <f>ROUND(E29*F29,2)</f>
        <v/>
      </c>
      <c r="H29" s="130">
        <f>G29/$G$31</f>
        <v/>
      </c>
      <c r="I29" s="32">
        <f>ROUND(F29*Прил.10!$D$12,2)</f>
        <v/>
      </c>
      <c r="J29" s="32">
        <f>ROUND(I29*E29,2)</f>
        <v/>
      </c>
    </row>
    <row r="30" collapsed="1" ht="14.25" customFormat="1" customHeight="1" s="197">
      <c r="A30" s="260" t="n"/>
      <c r="B30" s="260" t="n"/>
      <c r="C30" s="268" t="inlineStr">
        <is>
          <t>Итого прочие машины и механизмы</t>
        </is>
      </c>
      <c r="D30" s="260" t="n"/>
      <c r="E30" s="269" t="n"/>
      <c r="F30" s="32" t="n"/>
      <c r="G30" s="129">
        <f>SUM(G22:G29)</f>
        <v/>
      </c>
      <c r="H30" s="130">
        <f>G30/G31</f>
        <v/>
      </c>
      <c r="I30" s="32" t="n"/>
      <c r="J30" s="32">
        <f>SUM(J22:J29)</f>
        <v/>
      </c>
    </row>
    <row r="31" ht="25.5" customFormat="1" customHeight="1" s="197">
      <c r="A31" s="260" t="n"/>
      <c r="B31" s="260" t="n"/>
      <c r="C31" s="250" t="inlineStr">
        <is>
          <t>Итого по разделу «Машины и механизмы»</t>
        </is>
      </c>
      <c r="D31" s="260" t="n"/>
      <c r="E31" s="269" t="n"/>
      <c r="F31" s="32" t="n"/>
      <c r="G31" s="32">
        <f>G30+G21</f>
        <v/>
      </c>
      <c r="H31" s="131" t="n">
        <v>1</v>
      </c>
      <c r="I31" s="132" t="n"/>
      <c r="J31" s="133">
        <f>J30+J21</f>
        <v/>
      </c>
    </row>
    <row r="32" ht="14.25" customFormat="1" customHeight="1" s="197">
      <c r="A32" s="260" t="n"/>
      <c r="B32" s="250" t="inlineStr">
        <is>
          <t>Оборудование</t>
        </is>
      </c>
      <c r="C32" s="327" t="n"/>
      <c r="D32" s="327" t="n"/>
      <c r="E32" s="327" t="n"/>
      <c r="F32" s="327" t="n"/>
      <c r="G32" s="327" t="n"/>
      <c r="H32" s="328" t="n"/>
      <c r="I32" s="127" t="n"/>
      <c r="J32" s="127" t="n"/>
    </row>
    <row r="33">
      <c r="A33" s="260" t="n"/>
      <c r="B33" s="268" t="inlineStr">
        <is>
          <t>Основное оборудование</t>
        </is>
      </c>
      <c r="C33" s="327" t="n"/>
      <c r="D33" s="327" t="n"/>
      <c r="E33" s="327" t="n"/>
      <c r="F33" s="327" t="n"/>
      <c r="G33" s="327" t="n"/>
      <c r="H33" s="328" t="n"/>
      <c r="I33" s="127" t="n"/>
      <c r="J33" s="127" t="n"/>
    </row>
    <row r="34">
      <c r="A34" s="260" t="n"/>
      <c r="B34" s="260" t="n"/>
      <c r="C34" s="268" t="inlineStr">
        <is>
          <t>Итого основное оборудование</t>
        </is>
      </c>
      <c r="D34" s="260" t="n"/>
      <c r="E34" s="337" t="n"/>
      <c r="F34" s="270" t="n"/>
      <c r="G34" s="32" t="n">
        <v>0</v>
      </c>
      <c r="H34" s="130" t="n">
        <v>0</v>
      </c>
      <c r="I34" s="129" t="n"/>
      <c r="J34" s="32" t="n">
        <v>0</v>
      </c>
    </row>
    <row r="35">
      <c r="A35" s="260" t="n"/>
      <c r="B35" s="260" t="n"/>
      <c r="C35" s="268" t="inlineStr">
        <is>
          <t>Итого прочее оборудование</t>
        </is>
      </c>
      <c r="D35" s="260" t="n"/>
      <c r="E35" s="335" t="n"/>
      <c r="F35" s="270" t="n"/>
      <c r="G35" s="32" t="n">
        <v>0</v>
      </c>
      <c r="H35" s="130" t="n">
        <v>0</v>
      </c>
      <c r="I35" s="129" t="n"/>
      <c r="J35" s="32" t="n">
        <v>0</v>
      </c>
    </row>
    <row r="36">
      <c r="A36" s="260" t="n"/>
      <c r="B36" s="260" t="n"/>
      <c r="C36" s="250" t="inlineStr">
        <is>
          <t>Итого по разделу «Оборудование»</t>
        </is>
      </c>
      <c r="D36" s="260" t="n"/>
      <c r="E36" s="269" t="n"/>
      <c r="F36" s="270" t="n"/>
      <c r="G36" s="32">
        <f>G34+G35</f>
        <v/>
      </c>
      <c r="H36" s="130" t="n">
        <v>0</v>
      </c>
      <c r="I36" s="129" t="n"/>
      <c r="J36" s="32">
        <f>J35+J34</f>
        <v/>
      </c>
    </row>
    <row r="37" ht="25.5" customHeight="1" s="212">
      <c r="A37" s="260" t="n"/>
      <c r="B37" s="260" t="n"/>
      <c r="C37" s="268" t="inlineStr">
        <is>
          <t>в том числе технологическое оборудование</t>
        </is>
      </c>
      <c r="D37" s="260" t="n"/>
      <c r="E37" s="337" t="n"/>
      <c r="F37" s="270" t="n"/>
      <c r="G37" s="32">
        <f>'Прил.6 Расчет ОБ'!G12</f>
        <v/>
      </c>
      <c r="H37" s="271" t="n"/>
      <c r="I37" s="129" t="n"/>
      <c r="J37" s="32">
        <f>J36</f>
        <v/>
      </c>
    </row>
    <row r="38" ht="14.25" customFormat="1" customHeight="1" s="197">
      <c r="A38" s="260" t="n"/>
      <c r="B38" s="250" t="inlineStr">
        <is>
          <t>Материалы</t>
        </is>
      </c>
      <c r="C38" s="327" t="n"/>
      <c r="D38" s="327" t="n"/>
      <c r="E38" s="327" t="n"/>
      <c r="F38" s="327" t="n"/>
      <c r="G38" s="327" t="n"/>
      <c r="H38" s="328" t="n"/>
      <c r="I38" s="127" t="n"/>
      <c r="J38" s="127" t="n"/>
    </row>
    <row r="39" ht="14.25" customFormat="1" customHeight="1" s="197">
      <c r="A39" s="261" t="n"/>
      <c r="B39" s="264" t="inlineStr">
        <is>
          <t>Основные материалы</t>
        </is>
      </c>
      <c r="C39" s="338" t="n"/>
      <c r="D39" s="338" t="n"/>
      <c r="E39" s="338" t="n"/>
      <c r="F39" s="338" t="n"/>
      <c r="G39" s="338" t="n"/>
      <c r="H39" s="339" t="n"/>
      <c r="I39" s="140" t="n"/>
      <c r="J39" s="140" t="n"/>
    </row>
    <row r="40" ht="14.25" customFormat="1" customHeight="1" s="197">
      <c r="A40" s="260" t="n">
        <v>5</v>
      </c>
      <c r="B40" s="260" t="inlineStr">
        <is>
          <t>БЦ.83.849</t>
        </is>
      </c>
      <c r="C40" s="171" t="inlineStr">
        <is>
          <t>Кабель медный 500кВ 1х1600</t>
        </is>
      </c>
      <c r="D40" s="260" t="inlineStr">
        <is>
          <t>км</t>
        </is>
      </c>
      <c r="E40" s="337">
        <f>1*3.3</f>
        <v/>
      </c>
      <c r="F40" s="270">
        <f>ROUND(I40/Прил.10!$D$13,2)</f>
        <v/>
      </c>
      <c r="G40" s="32">
        <f>ROUND(E40*F40,2)</f>
        <v/>
      </c>
      <c r="H40" s="130">
        <f>G40/$G$44</f>
        <v/>
      </c>
      <c r="I40" s="32" t="n">
        <v>60982726.28</v>
      </c>
      <c r="J40" s="32">
        <f>ROUND(I40*E40,2)</f>
        <v/>
      </c>
    </row>
    <row r="41" ht="14.25" customFormat="1" customHeight="1" s="197">
      <c r="A41" s="262" t="n"/>
      <c r="B41" s="142" t="n"/>
      <c r="C41" s="143" t="inlineStr">
        <is>
          <t>Итого основные материалы</t>
        </is>
      </c>
      <c r="D41" s="262" t="n"/>
      <c r="E41" s="340" t="n"/>
      <c r="F41" s="133" t="n"/>
      <c r="G41" s="133">
        <f>SUM(G40:G40)</f>
        <v/>
      </c>
      <c r="H41" s="130">
        <f>G41/$G$44</f>
        <v/>
      </c>
      <c r="I41" s="32" t="n"/>
      <c r="J41" s="133">
        <f>SUM(J40:J40)</f>
        <v/>
      </c>
    </row>
    <row r="42" outlineLevel="1" ht="14.25" customFormat="1" customHeight="1" s="197">
      <c r="A42" s="260" t="n">
        <v>6</v>
      </c>
      <c r="B42" s="177" t="inlineStr">
        <is>
          <t>01.3.02.09-0022</t>
        </is>
      </c>
      <c r="C42" s="171" t="inlineStr">
        <is>
          <t>Пропан-бутан смесь техническая</t>
        </is>
      </c>
      <c r="D42" s="281" t="inlineStr">
        <is>
          <t>кг</t>
        </is>
      </c>
      <c r="E42" s="336" t="n">
        <v>3.617</v>
      </c>
      <c r="F42" s="169" t="n">
        <v>6.09</v>
      </c>
      <c r="G42" s="32">
        <f>ROUND(E42*F42,2)</f>
        <v/>
      </c>
      <c r="H42" s="130">
        <f>G42/$G$44</f>
        <v/>
      </c>
      <c r="I42" s="32">
        <f>ROUND(F42*Прил.10!$D$13,2)</f>
        <v/>
      </c>
      <c r="J42" s="32">
        <f>ROUND(I42*E42,2)</f>
        <v/>
      </c>
    </row>
    <row r="43" ht="14.25" customFormat="1" customHeight="1" s="197">
      <c r="A43" s="260" t="n"/>
      <c r="B43" s="260" t="n"/>
      <c r="C43" s="268" t="inlineStr">
        <is>
          <t>Итого прочие материалы</t>
        </is>
      </c>
      <c r="D43" s="260" t="n"/>
      <c r="E43" s="337" t="n"/>
      <c r="F43" s="270" t="n"/>
      <c r="G43" s="32">
        <f>SUM(G42:G42)</f>
        <v/>
      </c>
      <c r="H43" s="130">
        <f>G43/$G$44</f>
        <v/>
      </c>
      <c r="I43" s="32" t="n"/>
      <c r="J43" s="32">
        <f>SUM(J42:J42)</f>
        <v/>
      </c>
    </row>
    <row r="44" ht="14.25" customFormat="1" customHeight="1" s="197">
      <c r="A44" s="260" t="n"/>
      <c r="B44" s="260" t="n"/>
      <c r="C44" s="250" t="inlineStr">
        <is>
          <t>Итого по разделу «Материалы»</t>
        </is>
      </c>
      <c r="D44" s="260" t="n"/>
      <c r="E44" s="269" t="n"/>
      <c r="F44" s="270" t="n"/>
      <c r="G44" s="32">
        <f>G41+G43</f>
        <v/>
      </c>
      <c r="H44" s="271">
        <f>G44/$G$44</f>
        <v/>
      </c>
      <c r="I44" s="32" t="n"/>
      <c r="J44" s="32">
        <f>J41+J43</f>
        <v/>
      </c>
    </row>
    <row r="45" ht="14.25" customFormat="1" customHeight="1" s="197">
      <c r="A45" s="260" t="n"/>
      <c r="B45" s="260" t="n"/>
      <c r="C45" s="268" t="inlineStr">
        <is>
          <t>ИТОГО ПО РМ</t>
        </is>
      </c>
      <c r="D45" s="260" t="n"/>
      <c r="E45" s="269" t="n"/>
      <c r="F45" s="270" t="n"/>
      <c r="G45" s="32">
        <f>G14+G31+G44</f>
        <v/>
      </c>
      <c r="H45" s="271" t="n"/>
      <c r="I45" s="32" t="n"/>
      <c r="J45" s="32">
        <f>J14+J31+J44</f>
        <v/>
      </c>
    </row>
    <row r="46" ht="14.25" customFormat="1" customHeight="1" s="197">
      <c r="A46" s="260" t="n"/>
      <c r="B46" s="260" t="n"/>
      <c r="C46" s="268" t="inlineStr">
        <is>
          <t>Накладные расходы</t>
        </is>
      </c>
      <c r="D46" s="135">
        <f>ROUND(G46/(G$16+$G$14),2)</f>
        <v/>
      </c>
      <c r="E46" s="269" t="n"/>
      <c r="F46" s="270" t="n"/>
      <c r="G46" s="32" t="n">
        <v>15336.38</v>
      </c>
      <c r="H46" s="271" t="n"/>
      <c r="I46" s="32" t="n"/>
      <c r="J46" s="32">
        <f>ROUND(D46*(J14+J16),2)</f>
        <v/>
      </c>
    </row>
    <row r="47" ht="14.25" customFormat="1" customHeight="1" s="197">
      <c r="A47" s="260" t="n"/>
      <c r="B47" s="260" t="n"/>
      <c r="C47" s="268" t="inlineStr">
        <is>
          <t>Сметная прибыль</t>
        </is>
      </c>
      <c r="D47" s="135">
        <f>ROUND(G47/(G$14+G$16),2)</f>
        <v/>
      </c>
      <c r="E47" s="269" t="n"/>
      <c r="F47" s="270" t="n"/>
      <c r="G47" s="32" t="n">
        <v>8063.46</v>
      </c>
      <c r="H47" s="271" t="n"/>
      <c r="I47" s="32" t="n"/>
      <c r="J47" s="32">
        <f>ROUND(D47*(J14+J16),2)</f>
        <v/>
      </c>
    </row>
    <row r="48" ht="14.25" customFormat="1" customHeight="1" s="197">
      <c r="A48" s="260" t="n"/>
      <c r="B48" s="260" t="n"/>
      <c r="C48" s="268" t="inlineStr">
        <is>
          <t>Итого СМР (с НР и СП)</t>
        </is>
      </c>
      <c r="D48" s="260" t="n"/>
      <c r="E48" s="269" t="n"/>
      <c r="F48" s="270" t="n"/>
      <c r="G48" s="32">
        <f>G14+G31+G44+G46+G47</f>
        <v/>
      </c>
      <c r="H48" s="271" t="n"/>
      <c r="I48" s="32" t="n"/>
      <c r="J48" s="32">
        <f>J14+J31+J44+J46+J47</f>
        <v/>
      </c>
    </row>
    <row r="49" ht="14.25" customFormat="1" customHeight="1" s="197">
      <c r="A49" s="260" t="n"/>
      <c r="B49" s="260" t="n"/>
      <c r="C49" s="268" t="inlineStr">
        <is>
          <t>ВСЕГО СМР + ОБОРУДОВАНИЕ</t>
        </is>
      </c>
      <c r="D49" s="260" t="n"/>
      <c r="E49" s="269" t="n"/>
      <c r="F49" s="270" t="n"/>
      <c r="G49" s="32">
        <f>G48+G36</f>
        <v/>
      </c>
      <c r="H49" s="271" t="n"/>
      <c r="I49" s="32" t="n"/>
      <c r="J49" s="32">
        <f>J48+J36</f>
        <v/>
      </c>
    </row>
    <row r="50" ht="34.5" customFormat="1" customHeight="1" s="197">
      <c r="A50" s="260" t="n"/>
      <c r="B50" s="260" t="n"/>
      <c r="C50" s="268" t="inlineStr">
        <is>
          <t>ИТОГО ПОКАЗАТЕЛЬ НА ЕД. ИЗМ.</t>
        </is>
      </c>
      <c r="D50" s="260" t="inlineStr">
        <is>
          <t>1 км</t>
        </is>
      </c>
      <c r="E50" s="337" t="n">
        <v>1</v>
      </c>
      <c r="F50" s="270" t="n"/>
      <c r="G50" s="32">
        <f>G49/E50</f>
        <v/>
      </c>
      <c r="H50" s="271" t="n"/>
      <c r="I50" s="32" t="n"/>
      <c r="J50" s="32">
        <f>J49/E50</f>
        <v/>
      </c>
    </row>
    <row r="52" ht="14.25" customFormat="1" customHeight="1" s="197">
      <c r="A52" s="196" t="inlineStr">
        <is>
          <t>Составил ______________________    А.Р. Маркова</t>
        </is>
      </c>
    </row>
    <row r="53" ht="14.25" customFormat="1" customHeight="1" s="197">
      <c r="A53" s="199" t="inlineStr">
        <is>
          <t xml:space="preserve">                         (подпись, инициалы, фамилия)</t>
        </is>
      </c>
    </row>
    <row r="54" ht="14.25" customFormat="1" customHeight="1" s="197">
      <c r="A54" s="196" t="n"/>
    </row>
    <row r="55" ht="14.25" customFormat="1" customHeight="1" s="197">
      <c r="A55" s="196" t="inlineStr">
        <is>
          <t>Проверил ______________________        А.В. Костянецкая</t>
        </is>
      </c>
    </row>
    <row r="56" ht="14.25" customFormat="1" customHeight="1" s="197">
      <c r="A56" s="1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9" sqref="D19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6" t="inlineStr">
        <is>
          <t>Приложение №6</t>
        </is>
      </c>
    </row>
    <row r="2" ht="21.75" customHeight="1" s="212">
      <c r="A2" s="276" t="n"/>
      <c r="B2" s="276" t="n"/>
      <c r="C2" s="276" t="n"/>
      <c r="D2" s="276" t="n"/>
      <c r="E2" s="276" t="n"/>
      <c r="F2" s="276" t="n"/>
      <c r="G2" s="276" t="n"/>
    </row>
    <row r="3">
      <c r="A3" s="234" t="inlineStr">
        <is>
          <t>Расчет стоимости оборудования</t>
        </is>
      </c>
    </row>
    <row r="4" ht="25.5" customHeight="1" s="212">
      <c r="A4" s="237" t="inlineStr">
        <is>
          <t>Наименование разрабатываемого показателя УНЦ — КЛ 500 кВ (с медной жилой) сечение жилы 1600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60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2">
      <c r="A9" s="25" t="n"/>
      <c r="B9" s="268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 s="212">
      <c r="A10" s="260" t="n"/>
      <c r="B10" s="250" t="n"/>
      <c r="C10" s="268" t="inlineStr">
        <is>
          <t>ИТОГО ИНЖЕНЕРНОЕ ОБОРУДОВАНИЕ</t>
        </is>
      </c>
      <c r="D10" s="250" t="n"/>
      <c r="E10" s="105" t="n"/>
      <c r="F10" s="270" t="n"/>
      <c r="G10" s="270" t="n">
        <v>0</v>
      </c>
    </row>
    <row r="11">
      <c r="A11" s="260" t="n"/>
      <c r="B11" s="268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 s="212">
      <c r="A12" s="260" t="n"/>
      <c r="B12" s="268" t="n"/>
      <c r="C12" s="268" t="inlineStr">
        <is>
          <t>ИТОГО ТЕХНОЛОГИЧЕСКОЕ ОБОРУДОВАНИЕ</t>
        </is>
      </c>
      <c r="D12" s="268" t="n"/>
      <c r="E12" s="280" t="n"/>
      <c r="F12" s="270" t="n"/>
      <c r="G12" s="32" t="n">
        <v>0</v>
      </c>
    </row>
    <row r="13" ht="19.5" customHeight="1" s="212">
      <c r="A13" s="260" t="n"/>
      <c r="B13" s="268" t="n"/>
      <c r="C13" s="268" t="inlineStr">
        <is>
          <t>Всего по разделу «Оборудование»</t>
        </is>
      </c>
      <c r="D13" s="268" t="n"/>
      <c r="E13" s="280" t="n"/>
      <c r="F13" s="270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3" sqref="D2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31.5" customHeight="1" s="212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30" t="n"/>
      <c r="B9" s="330" t="n"/>
      <c r="C9" s="330" t="n"/>
      <c r="D9" s="330" t="n"/>
    </row>
    <row r="10" ht="15.75" customHeight="1" s="212">
      <c r="A10" s="249" t="n">
        <v>1</v>
      </c>
      <c r="B10" s="249" t="n">
        <v>2</v>
      </c>
      <c r="C10" s="249" t="n">
        <v>3</v>
      </c>
      <c r="D10" s="249" t="n">
        <v>4</v>
      </c>
    </row>
    <row r="11" ht="31.5" customHeight="1" s="212">
      <c r="A11" s="249" t="inlineStr">
        <is>
          <t>К2-17-8</t>
        </is>
      </c>
      <c r="B11" s="249" t="inlineStr">
        <is>
          <t xml:space="preserve">УНЦ КЛ 6 - 500 кВ (с медной жилой)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G31" sqref="G31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44" t="inlineStr">
        <is>
          <t>Приложение № 10</t>
        </is>
      </c>
    </row>
    <row r="5" ht="18.75" customHeight="1" s="212">
      <c r="B5" s="120" t="n"/>
    </row>
    <row r="6" ht="15.75" customHeight="1" s="212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2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 s="212">
      <c r="B10" s="249" t="n">
        <v>1</v>
      </c>
      <c r="C10" s="249" t="n">
        <v>2</v>
      </c>
      <c r="D10" s="249" t="n">
        <v>3</v>
      </c>
    </row>
    <row r="11" ht="45" customHeight="1" s="212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30.03.2023г. №17106-ИФ/09  прил.1</t>
        </is>
      </c>
      <c r="D11" s="249" t="n">
        <v>44.29</v>
      </c>
    </row>
    <row r="12" ht="29.25" customHeight="1" s="212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30.03.2023г. №17106-ИФ/09  прил.1</t>
        </is>
      </c>
      <c r="D12" s="249" t="n">
        <v>10.77</v>
      </c>
    </row>
    <row r="13" ht="29.25" customHeight="1" s="212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30.03.2023г. №17106-ИФ/09  прил.1</t>
        </is>
      </c>
      <c r="D13" s="249" t="n">
        <v>4.39</v>
      </c>
    </row>
    <row r="14" ht="30.75" customHeight="1" s="212">
      <c r="B14" s="24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9" t="n">
        <v>6.26</v>
      </c>
    </row>
    <row r="15" ht="89.25" customHeight="1" s="212">
      <c r="B15" s="249" t="inlineStr">
        <is>
          <t>Временные здания и сооружения</t>
        </is>
      </c>
      <c r="C15" s="2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9" t="inlineStr">
        <is>
          <t>Строительный контроль</t>
        </is>
      </c>
      <c r="C17" s="249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9" t="inlineStr">
        <is>
          <t>Авторский надзор - 0,2%</t>
        </is>
      </c>
      <c r="C18" s="249" t="inlineStr">
        <is>
          <t>Приказ от 4.08.2020 № 421/пр п.173</t>
        </is>
      </c>
      <c r="D18" s="122" t="n">
        <v>0.002</v>
      </c>
    </row>
    <row r="19" ht="24" customHeight="1" s="212">
      <c r="B19" s="249" t="inlineStr">
        <is>
          <t>Непредвиденные расходы</t>
        </is>
      </c>
      <c r="C19" s="249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Е.А. Князева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35" sqref="R35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43.85546875" customWidth="1" style="212" min="6" max="6"/>
  </cols>
  <sheetData>
    <row r="1" s="212"/>
    <row r="2" ht="17.25" customHeight="1" s="212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9" t="n"/>
      <c r="D10" s="249" t="n"/>
      <c r="E10" s="341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342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16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43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n"/>
    </row>
    <row r="13" ht="63" customHeight="1" s="212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2025-01-24T12:06:58Z</dcterms:modified>
  <cp:lastModifiedBy>REDMIBOOK</cp:lastModifiedBy>
  <cp:lastPrinted>2023-11-30T06:15:45Z</cp:lastPrinted>
</cp:coreProperties>
</file>