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24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31" t="inlineStr">
        <is>
          <t>Приложение № 1</t>
        </is>
      </c>
    </row>
    <row r="4">
      <c r="B4" s="232" t="inlineStr">
        <is>
          <t>Сравнительная таблица отбора объекта-представителя</t>
        </is>
      </c>
    </row>
    <row r="5" ht="84" customHeight="1">
      <c r="B5" s="23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33" t="inlineStr">
        <is>
          <t>Наименование разрабатываемого показателя УНЦ - КЛ 0,4 кВ (с алюминиевой жилой) сечение жилы 95 мм2, количество жил 5 шт.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144">
        <f>D22</f>
        <v/>
      </c>
    </row>
    <row r="9" ht="15.75" customHeight="1">
      <c r="B9" s="233" t="inlineStr">
        <is>
          <t>Единица измерения  — 1 км</t>
        </is>
      </c>
    </row>
    <row r="10">
      <c r="B10" s="233" t="n"/>
    </row>
    <row r="11">
      <c r="B11" s="236" t="inlineStr">
        <is>
          <t>№ п/п</t>
        </is>
      </c>
      <c r="C11" s="236" t="inlineStr">
        <is>
          <t>Параметр</t>
        </is>
      </c>
      <c r="D11" s="236" t="inlineStr">
        <is>
          <t xml:space="preserve">Объект-представитель </t>
        </is>
      </c>
      <c r="E11" s="152" t="n"/>
    </row>
    <row r="12" ht="96.75" customHeight="1">
      <c r="B12" s="236" t="n">
        <v>1</v>
      </c>
      <c r="C12" s="147" t="inlineStr">
        <is>
          <t>Наименование объекта-представителя</t>
        </is>
      </c>
      <c r="D12" s="236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6" t="n">
        <v>2</v>
      </c>
      <c r="C13" s="147" t="inlineStr">
        <is>
          <t>Наименование субъекта Российской Федерации</t>
        </is>
      </c>
      <c r="D13" s="236" t="inlineStr">
        <is>
          <t>Калининградская область</t>
        </is>
      </c>
    </row>
    <row r="14">
      <c r="B14" s="236" t="n">
        <v>3</v>
      </c>
      <c r="C14" s="147" t="inlineStr">
        <is>
          <t>Климатический район и подрайон</t>
        </is>
      </c>
      <c r="D14" s="236" t="inlineStr">
        <is>
          <t>IIБ</t>
        </is>
      </c>
    </row>
    <row r="15">
      <c r="B15" s="236" t="n">
        <v>4</v>
      </c>
      <c r="C15" s="147" t="inlineStr">
        <is>
          <t>Мощность объекта</t>
        </is>
      </c>
      <c r="D15" s="236" t="n">
        <v>1</v>
      </c>
    </row>
    <row r="16" ht="116.25" customHeight="1">
      <c r="B16" s="236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6" t="inlineStr">
        <is>
          <t>Кабель силовой с алюминиевыми жилами  5х95 - 0,4 кВ</t>
        </is>
      </c>
    </row>
    <row r="17" ht="79.5" customHeight="1">
      <c r="B17" s="236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3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204">
        <f>'Прил.2 Расч стоим'!F14+'Прил.2 Расч стоим'!G14</f>
        <v/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36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36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3">
        <f>D18*2.5%+(D18*2.5%+D18)*2.1%</f>
        <v/>
      </c>
    </row>
    <row r="22">
      <c r="B22" s="236" t="n">
        <v>7</v>
      </c>
      <c r="C22" s="150" t="inlineStr">
        <is>
          <t>Сопоставимый уровень цен</t>
        </is>
      </c>
      <c r="D22" s="236" t="inlineStr">
        <is>
          <t>1 кв. 2018 г.</t>
        </is>
      </c>
      <c r="E22" s="148" t="n"/>
    </row>
    <row r="23" ht="123" customHeight="1">
      <c r="B23" s="236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3">
        <f>D17</f>
        <v/>
      </c>
      <c r="E23" s="167" t="n"/>
    </row>
    <row r="24" ht="60.75" customHeight="1">
      <c r="B24" s="236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3">
        <f>D23/D15</f>
        <v/>
      </c>
      <c r="E24" s="148" t="n"/>
    </row>
    <row r="25" ht="48" customHeight="1">
      <c r="B25" s="236" t="n">
        <v>10</v>
      </c>
      <c r="C25" s="147" t="inlineStr">
        <is>
          <t>Примечание</t>
        </is>
      </c>
      <c r="D25" s="236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31" t="inlineStr">
        <is>
          <t>Приложение № 2</t>
        </is>
      </c>
      <c r="K3" s="144" t="n"/>
    </row>
    <row r="4">
      <c r="B4" s="232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3">
        <f>'Прил.1 Сравнит табл'!B7:D7</f>
        <v/>
      </c>
    </row>
    <row r="7">
      <c r="B7" s="233">
        <f>'Прил.1 Сравнит табл'!B9:D9</f>
        <v/>
      </c>
    </row>
    <row r="8" ht="18.75" customHeight="1">
      <c r="B8" s="118" t="n"/>
    </row>
    <row r="9" ht="15.75" customHeight="1">
      <c r="B9" s="236" t="inlineStr">
        <is>
          <t>№ п/п</t>
        </is>
      </c>
      <c r="C9" s="23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6" t="inlineStr">
        <is>
          <t>Объект-представитель 1</t>
        </is>
      </c>
      <c r="E9" s="314" t="n"/>
      <c r="F9" s="314" t="n"/>
      <c r="G9" s="314" t="n"/>
      <c r="H9" s="314" t="n"/>
      <c r="I9" s="314" t="n"/>
      <c r="J9" s="315" t="n"/>
    </row>
    <row r="10" ht="15.75" customHeight="1">
      <c r="B10" s="316" t="n"/>
      <c r="C10" s="316" t="n"/>
      <c r="D10" s="236" t="inlineStr">
        <is>
          <t>Номер сметы</t>
        </is>
      </c>
      <c r="E10" s="236" t="inlineStr">
        <is>
          <t>Наименование сметы</t>
        </is>
      </c>
      <c r="F10" s="236" t="inlineStr">
        <is>
          <t>Сметная стоимость в уровне цен 1 кв. 2018 г., тыс. руб.</t>
        </is>
      </c>
      <c r="G10" s="314" t="n"/>
      <c r="H10" s="314" t="n"/>
      <c r="I10" s="314" t="n"/>
      <c r="J10" s="315" t="n"/>
    </row>
    <row r="11" ht="31.5" customHeight="1">
      <c r="B11" s="317" t="n"/>
      <c r="C11" s="317" t="n"/>
      <c r="D11" s="317" t="n"/>
      <c r="E11" s="317" t="n"/>
      <c r="F11" s="236" t="inlineStr">
        <is>
          <t>Строительные работы</t>
        </is>
      </c>
      <c r="G11" s="236" t="inlineStr">
        <is>
          <t>Монтажные работы</t>
        </is>
      </c>
      <c r="H11" s="236" t="inlineStr">
        <is>
          <t>Оборудование</t>
        </is>
      </c>
      <c r="I11" s="236" t="inlineStr">
        <is>
          <t>Прочее</t>
        </is>
      </c>
      <c r="J11" s="236" t="inlineStr">
        <is>
          <t>Всего</t>
        </is>
      </c>
    </row>
    <row r="12" ht="39.75" customHeight="1">
      <c r="B12" s="198" t="n">
        <v>1</v>
      </c>
      <c r="C12" s="160" t="inlineStr">
        <is>
          <t>Кабель силовой с алюминиевыми жилами  5х95 - 0,4 кВ</t>
        </is>
      </c>
      <c r="D12" s="199" t="inlineStr">
        <is>
          <t>02-50-01</t>
        </is>
      </c>
      <c r="E12" s="147" t="inlineStr">
        <is>
          <t>ЛЭП 0,4/0,23 кВ, ТП 237</t>
        </is>
      </c>
      <c r="F12" s="200" t="n"/>
      <c r="G12" s="200" t="n">
        <v>1287.16</v>
      </c>
      <c r="H12" s="200" t="n"/>
      <c r="I12" s="200" t="n"/>
      <c r="J12" s="201">
        <f>SUM(F12:I12)</f>
        <v/>
      </c>
    </row>
    <row r="13" ht="15" customHeight="1">
      <c r="B13" s="235" t="inlineStr">
        <is>
          <t>Всего по объекту:</t>
        </is>
      </c>
      <c r="C13" s="314" t="n"/>
      <c r="D13" s="314" t="n"/>
      <c r="E13" s="315" t="n"/>
      <c r="F13" s="202">
        <f>SUM(F12:F12)</f>
        <v/>
      </c>
      <c r="G13" s="202">
        <f>SUM(G12:G12)</f>
        <v/>
      </c>
      <c r="H13" s="202">
        <f>SUM(H12:H12)</f>
        <v/>
      </c>
      <c r="I13" s="202" t="n"/>
      <c r="J13" s="202">
        <f>SUM(F13:I13)</f>
        <v/>
      </c>
    </row>
    <row r="14" ht="15.75" customHeight="1">
      <c r="B14" s="235" t="inlineStr">
        <is>
          <t>Всего по объекту в сопоставимом уровне цен 1 кв. 2018 г. :</t>
        </is>
      </c>
      <c r="C14" s="314" t="n"/>
      <c r="D14" s="314" t="n"/>
      <c r="E14" s="315" t="n"/>
      <c r="F14" s="202">
        <f>F13</f>
        <v/>
      </c>
      <c r="G14" s="202">
        <f>G13</f>
        <v/>
      </c>
      <c r="H14" s="202">
        <f>H13</f>
        <v/>
      </c>
      <c r="I14" s="202">
        <f>'Прил.1 Сравнит табл'!D21</f>
        <v/>
      </c>
      <c r="J14" s="202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4"/>
  <sheetViews>
    <sheetView tabSelected="1" view="pageBreakPreview" topLeftCell="A18" workbookViewId="0">
      <selection activeCell="F30" sqref="F30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31" t="inlineStr">
        <is>
          <t xml:space="preserve">Приложение № 3 </t>
        </is>
      </c>
    </row>
    <row r="3">
      <c r="A3" s="232" t="inlineStr">
        <is>
          <t>Объектная ресурсная ведомость</t>
        </is>
      </c>
    </row>
    <row r="4" ht="18.75" customHeight="1">
      <c r="A4" s="176" t="n"/>
      <c r="B4" s="176" t="n"/>
      <c r="C4" s="23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3" t="n"/>
    </row>
    <row r="6">
      <c r="A6" s="237" t="inlineStr">
        <is>
          <t>Наименование разрабатываемого показателя УНЦ - КЛ 0,4 кВ (с алюминиевой жилой) сечение жилы 95 мм2, количество жил 5 шт.</t>
        </is>
      </c>
    </row>
    <row r="7">
      <c r="A7" s="237" t="n"/>
      <c r="B7" s="237" t="n"/>
      <c r="C7" s="237" t="n"/>
      <c r="D7" s="237" t="n"/>
      <c r="E7" s="237" t="n"/>
      <c r="F7" s="237" t="n"/>
      <c r="G7" s="237" t="n"/>
      <c r="H7" s="237" t="n"/>
    </row>
    <row r="8" ht="38.25" customHeight="1">
      <c r="A8" s="236" t="inlineStr">
        <is>
          <t>п/п</t>
        </is>
      </c>
      <c r="B8" s="236" t="inlineStr">
        <is>
          <t>№ЛСР</t>
        </is>
      </c>
      <c r="C8" s="236" t="inlineStr">
        <is>
          <t>Код ресурса</t>
        </is>
      </c>
      <c r="D8" s="236" t="inlineStr">
        <is>
          <t>Наименование ресурса</t>
        </is>
      </c>
      <c r="E8" s="236" t="inlineStr">
        <is>
          <t>Ед. изм.</t>
        </is>
      </c>
      <c r="F8" s="236" t="inlineStr">
        <is>
          <t>Кол-во единиц по данным объекта-представителя</t>
        </is>
      </c>
      <c r="G8" s="236" t="inlineStr">
        <is>
          <t>Сметная стоимость в ценах на 01.01.2000 (руб.)</t>
        </is>
      </c>
      <c r="H8" s="315" t="n"/>
    </row>
    <row r="9" ht="40.5" customHeight="1">
      <c r="A9" s="317" t="n"/>
      <c r="B9" s="317" t="n"/>
      <c r="C9" s="317" t="n"/>
      <c r="D9" s="317" t="n"/>
      <c r="E9" s="317" t="n"/>
      <c r="F9" s="317" t="n"/>
      <c r="G9" s="236" t="inlineStr">
        <is>
          <t>на ед.изм.</t>
        </is>
      </c>
      <c r="H9" s="236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40" t="inlineStr">
        <is>
          <t>Затраты труда рабочих</t>
        </is>
      </c>
      <c r="B11" s="314" t="n"/>
      <c r="C11" s="314" t="n"/>
      <c r="D11" s="314" t="n"/>
      <c r="E11" s="315" t="n"/>
      <c r="F11" s="318">
        <f>SUM(F12:F12)</f>
        <v/>
      </c>
      <c r="G11" s="10" t="n"/>
      <c r="H11" s="318">
        <f>SUM(H12:H12)</f>
        <v/>
      </c>
    </row>
    <row r="12">
      <c r="A12" s="268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68" t="inlineStr">
        <is>
          <t>чел.-ч</t>
        </is>
      </c>
      <c r="F12" s="250" t="n">
        <v>113.6</v>
      </c>
      <c r="G12" s="319" t="n">
        <v>9.4</v>
      </c>
      <c r="H12" s="169">
        <f>ROUND(F12*G12,2)</f>
        <v/>
      </c>
      <c r="M12" s="320" t="n"/>
    </row>
    <row r="13">
      <c r="A13" s="239" t="inlineStr">
        <is>
          <t>Затраты труда машинистов</t>
        </is>
      </c>
      <c r="B13" s="314" t="n"/>
      <c r="C13" s="314" t="n"/>
      <c r="D13" s="314" t="n"/>
      <c r="E13" s="315" t="n"/>
      <c r="F13" s="240" t="n"/>
      <c r="G13" s="157" t="n"/>
      <c r="H13" s="318">
        <f>H14</f>
        <v/>
      </c>
    </row>
    <row r="14">
      <c r="A14" s="268" t="n">
        <v>2</v>
      </c>
      <c r="B14" s="241" t="n"/>
      <c r="C14" s="179" t="n">
        <v>2</v>
      </c>
      <c r="D14" s="171" t="inlineStr">
        <is>
          <t>Затраты труда машинистов</t>
        </is>
      </c>
      <c r="E14" s="268" t="inlineStr">
        <is>
          <t>чел.-ч</t>
        </is>
      </c>
      <c r="F14" s="268" t="n">
        <v>18.8</v>
      </c>
      <c r="G14" s="169" t="n"/>
      <c r="H14" s="319" t="n">
        <v>235.9</v>
      </c>
    </row>
    <row r="15" customFormat="1" s="156">
      <c r="A15" s="240" t="inlineStr">
        <is>
          <t>Машины и механизмы</t>
        </is>
      </c>
      <c r="B15" s="314" t="n"/>
      <c r="C15" s="314" t="n"/>
      <c r="D15" s="314" t="n"/>
      <c r="E15" s="315" t="n"/>
      <c r="F15" s="240" t="n"/>
      <c r="G15" s="157" t="n"/>
      <c r="H15" s="321">
        <f>SUM(H16:H19)</f>
        <v/>
      </c>
    </row>
    <row r="16">
      <c r="A16" s="268" t="n">
        <v>3</v>
      </c>
      <c r="B16" s="241" t="n"/>
      <c r="C16" s="179" t="inlineStr">
        <is>
          <t>91.05.05-015</t>
        </is>
      </c>
      <c r="D16" s="171" t="inlineStr">
        <is>
          <t>Краны на автомобильном ходу, грузоподъемность 16 т</t>
        </is>
      </c>
      <c r="E16" s="268" t="inlineStr">
        <is>
          <t>маш.час</t>
        </is>
      </c>
      <c r="F16" s="268" t="n">
        <v>9.4</v>
      </c>
      <c r="G16" s="180" t="n">
        <v>115.4</v>
      </c>
      <c r="H16" s="192">
        <f>ROUND(F16*G16,2)</f>
        <v/>
      </c>
      <c r="I16" s="173" t="n"/>
      <c r="J16" s="173" t="n"/>
      <c r="L16" s="173" t="n"/>
    </row>
    <row r="17" customFormat="1" s="156">
      <c r="A17" s="268" t="n">
        <v>4</v>
      </c>
      <c r="B17" s="241" t="n"/>
      <c r="C17" s="179" t="inlineStr">
        <is>
          <t>91.14.02-001</t>
        </is>
      </c>
      <c r="D17" s="171" t="inlineStr">
        <is>
          <t>Автомобили бортовые, грузоподъемность до 5 т</t>
        </is>
      </c>
      <c r="E17" s="268" t="inlineStr">
        <is>
          <t>маш.час</t>
        </is>
      </c>
      <c r="F17" s="268" t="n">
        <v>9.4</v>
      </c>
      <c r="G17" s="180" t="n">
        <v>65.70999999999999</v>
      </c>
      <c r="H17" s="192">
        <f>ROUND(F17*G17,2)</f>
        <v/>
      </c>
      <c r="I17" s="173" t="n"/>
      <c r="J17" s="173" t="n"/>
      <c r="K17" s="193" t="n"/>
      <c r="L17" s="173" t="n"/>
    </row>
    <row r="18" ht="25.5" customHeight="1">
      <c r="A18" s="268" t="n">
        <v>5</v>
      </c>
      <c r="B18" s="241" t="n"/>
      <c r="C18" s="179" t="inlineStr">
        <is>
          <t>91.06.03-061</t>
        </is>
      </c>
      <c r="D18" s="171" t="inlineStr">
        <is>
          <t>Лебедки электрические тяговым усилием до 12,26 кН (1,25 т)</t>
        </is>
      </c>
      <c r="E18" s="268" t="inlineStr">
        <is>
          <t>маш.час</t>
        </is>
      </c>
      <c r="F18" s="268" t="n">
        <v>25.8</v>
      </c>
      <c r="G18" s="180" t="n">
        <v>3.28</v>
      </c>
      <c r="H18" s="192">
        <f>ROUND(F18*G18,2)</f>
        <v/>
      </c>
      <c r="I18" s="173" t="n"/>
      <c r="J18" s="173" t="n"/>
      <c r="L18" s="173" t="n"/>
    </row>
    <row r="19">
      <c r="A19" s="268" t="n">
        <v>6</v>
      </c>
      <c r="B19" s="241" t="n"/>
      <c r="C19" s="179" t="inlineStr">
        <is>
          <t>91.06.01-003</t>
        </is>
      </c>
      <c r="D19" s="171" t="inlineStr">
        <is>
          <t>Домкраты гидравлические, грузоподъемность 63-100 т</t>
        </is>
      </c>
      <c r="E19" s="268" t="inlineStr">
        <is>
          <t>маш.час</t>
        </is>
      </c>
      <c r="F19" s="268" t="n">
        <v>25.8</v>
      </c>
      <c r="G19" s="180" t="n">
        <v>0.9</v>
      </c>
      <c r="H19" s="192">
        <f>ROUND(F19*G19,2)</f>
        <v/>
      </c>
      <c r="I19" s="173" t="n"/>
      <c r="J19" s="173" t="n"/>
      <c r="L19" s="173" t="n"/>
    </row>
    <row r="20">
      <c r="A20" s="240" t="inlineStr">
        <is>
          <t>Материалы</t>
        </is>
      </c>
      <c r="B20" s="314" t="n"/>
      <c r="C20" s="314" t="n"/>
      <c r="D20" s="314" t="n"/>
      <c r="E20" s="315" t="n"/>
      <c r="F20" s="240" t="n"/>
      <c r="G20" s="157" t="n"/>
      <c r="H20" s="321">
        <f>SUM(H21:H26)</f>
        <v/>
      </c>
    </row>
    <row r="21" ht="25.5" customHeight="1">
      <c r="A21" s="190" t="n">
        <v>7</v>
      </c>
      <c r="B21" s="190" t="n"/>
      <c r="C21" s="268" t="inlineStr">
        <is>
          <t>Прайс из СД ОП</t>
        </is>
      </c>
      <c r="D21" s="189" t="inlineStr">
        <is>
          <t>Кабель силовой с алюминиевыми жилами 5x95 - 0,4 кВ</t>
        </is>
      </c>
      <c r="E21" s="268" t="inlineStr">
        <is>
          <t>км</t>
        </is>
      </c>
      <c r="F21" s="268" t="n">
        <v>1.1</v>
      </c>
      <c r="G21" s="169" t="n">
        <v>140344.3</v>
      </c>
      <c r="H21" s="192" t="n">
        <v>154378.73</v>
      </c>
    </row>
    <row r="22" ht="25.5" customHeight="1">
      <c r="A22" s="172" t="n">
        <v>8</v>
      </c>
      <c r="B22" s="241" t="n"/>
      <c r="C22" s="179" t="inlineStr">
        <is>
          <t>08.3.08.02-0052</t>
        </is>
      </c>
      <c r="D22" s="171" t="inlineStr">
        <is>
          <t>Уголок горячекатаный, марка стали ВСт3кп2, размер 50х50х5 мм</t>
        </is>
      </c>
      <c r="E22" s="268" t="inlineStr">
        <is>
          <t>т</t>
        </is>
      </c>
      <c r="F22" s="268" t="n">
        <v>0.1</v>
      </c>
      <c r="G22" s="169" t="n">
        <v>5763</v>
      </c>
      <c r="H22" s="192" t="n">
        <v>576.3</v>
      </c>
      <c r="I22" s="166" t="n"/>
      <c r="J22" s="173" t="n"/>
      <c r="K22" s="173" t="n"/>
    </row>
    <row r="23">
      <c r="A23" s="190" t="n">
        <v>9</v>
      </c>
      <c r="B23" s="241" t="n"/>
      <c r="C23" s="179" t="inlineStr">
        <is>
          <t>14.4.02.09-0001</t>
        </is>
      </c>
      <c r="D23" s="171" t="inlineStr">
        <is>
          <t>Краска</t>
        </is>
      </c>
      <c r="E23" s="268" t="inlineStr">
        <is>
          <t>кг</t>
        </is>
      </c>
      <c r="F23" s="268" t="n">
        <v>2.5</v>
      </c>
      <c r="G23" s="169" t="n">
        <v>28.6</v>
      </c>
      <c r="H23" s="192" t="n">
        <v>71.5</v>
      </c>
      <c r="I23" s="166" t="n"/>
      <c r="J23" s="173" t="n"/>
      <c r="K23" s="173" t="n"/>
    </row>
    <row r="24" ht="25.5" customHeight="1">
      <c r="A24" s="172" t="n">
        <v>10</v>
      </c>
      <c r="B24" s="241" t="n"/>
      <c r="C24" s="179" t="inlineStr">
        <is>
          <t>08.3.07.01-0076</t>
        </is>
      </c>
      <c r="D24" s="171" t="inlineStr">
        <is>
          <t>Прокат полосовой, горячекатаный, марка стали Ст3сп, ширина 50-200 мм, толщина 4-5 мм</t>
        </is>
      </c>
      <c r="E24" s="268" t="inlineStr">
        <is>
          <t>т</t>
        </is>
      </c>
      <c r="F24" s="268" t="n">
        <v>0.01</v>
      </c>
      <c r="G24" s="169" t="n">
        <v>5000</v>
      </c>
      <c r="H24" s="192" t="n">
        <v>50</v>
      </c>
      <c r="I24" s="166" t="n"/>
      <c r="J24" s="173" t="n"/>
      <c r="K24" s="173" t="n"/>
    </row>
    <row r="25">
      <c r="A25" s="172" t="n">
        <v>11</v>
      </c>
      <c r="B25" s="241" t="n"/>
      <c r="C25" s="179" t="inlineStr">
        <is>
          <t>01.7.06.07-0002</t>
        </is>
      </c>
      <c r="D25" s="171" t="inlineStr">
        <is>
          <t>Лента монтажная, тип ЛМ-5</t>
        </is>
      </c>
      <c r="E25" s="268" t="inlineStr">
        <is>
          <t>10 м</t>
        </is>
      </c>
      <c r="F25" s="268" t="n">
        <v>0.96</v>
      </c>
      <c r="G25" s="169" t="n">
        <v>6.9</v>
      </c>
      <c r="H25" s="169" t="n">
        <v>6.62</v>
      </c>
      <c r="I25" s="166" t="n"/>
      <c r="J25" s="173" t="n"/>
      <c r="K25" s="173" t="n"/>
    </row>
    <row r="26">
      <c r="A26" s="190" t="n">
        <v>12</v>
      </c>
      <c r="B26" s="241" t="n"/>
      <c r="C26" s="179" t="inlineStr">
        <is>
          <t>14.4.03.03-0002</t>
        </is>
      </c>
      <c r="D26" s="171" t="inlineStr">
        <is>
          <t>Лак битумный БТ-123</t>
        </is>
      </c>
      <c r="E26" s="268" t="inlineStr">
        <is>
          <t>т</t>
        </is>
      </c>
      <c r="F26" s="268" t="n">
        <v>0.0005999999999999999</v>
      </c>
      <c r="G26" s="169" t="n">
        <v>7826.9</v>
      </c>
      <c r="H26" s="169" t="n">
        <v>4.7</v>
      </c>
      <c r="I26" s="166" t="n"/>
      <c r="J26" s="173" t="n"/>
      <c r="K26" s="173" t="n"/>
    </row>
    <row r="27">
      <c r="A27" s="183" t="n"/>
      <c r="B27" s="184" t="n"/>
      <c r="C27" s="185" t="n"/>
      <c r="D27" s="186" t="n"/>
      <c r="E27" s="187" t="n"/>
      <c r="F27" s="187" t="n"/>
      <c r="G27" s="188" t="n"/>
      <c r="H27" s="188" t="n"/>
      <c r="I27" s="166" t="n"/>
      <c r="J27" s="173" t="n"/>
      <c r="K27" s="173" t="n"/>
    </row>
    <row r="30">
      <c r="B30" s="143" t="inlineStr">
        <is>
          <t>Составил ______________________     А.Р. Маркова</t>
        </is>
      </c>
    </row>
    <row r="31">
      <c r="B31" s="144" t="inlineStr">
        <is>
          <t xml:space="preserve">                         (подпись, инициалы, фамилия)</t>
        </is>
      </c>
    </row>
    <row r="33">
      <c r="B33" s="143" t="inlineStr">
        <is>
          <t>Проверил ______________________        А.В. Костянецкая</t>
        </is>
      </c>
    </row>
    <row r="34">
      <c r="B34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A20:E20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3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1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30" t="inlineStr">
        <is>
          <t>Наименование разрабатываемого показателя УНЦ — КЛ 0,4 кВ (с алюминиевой жилой) сечение жилы 95 мм2, количество жил 5 шт.</t>
        </is>
      </c>
    </row>
    <row r="8">
      <c r="B8" s="243" t="inlineStr">
        <is>
          <t>Единица измерения  — 1 км</t>
        </is>
      </c>
    </row>
    <row r="9">
      <c r="B9" s="165" t="n"/>
      <c r="C9" s="4" t="n"/>
      <c r="D9" s="4" t="n"/>
      <c r="E9" s="4" t="n"/>
    </row>
    <row r="10" ht="51" customHeight="1">
      <c r="B10" s="250" t="inlineStr">
        <is>
          <t>Наименование</t>
        </is>
      </c>
      <c r="C10" s="250" t="inlineStr">
        <is>
          <t>Сметная стоимость в ценах на 01.01.2023
 (руб.)</t>
        </is>
      </c>
      <c r="D10" s="250" t="inlineStr">
        <is>
          <t>Удельный вес, 
(в СМР)</t>
        </is>
      </c>
      <c r="E10" s="250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ОБ'!J25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ОБ'!J36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ОБ'!J42</f>
        <v/>
      </c>
      <c r="D17" s="27">
        <f>C17/$C$24</f>
        <v/>
      </c>
      <c r="E17" s="27">
        <f>C17/$C$40</f>
        <v/>
      </c>
      <c r="G17" s="322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ОБ'!J31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ОБ'!J32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2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ОБ'!E49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3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5"/>
  <sheetViews>
    <sheetView view="pageBreakPreview" topLeftCell="A38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8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1" t="inlineStr">
        <is>
          <t>Расчет стоимости СМР и оборудования</t>
        </is>
      </c>
    </row>
    <row r="5" ht="12.75" customFormat="1" customHeight="1" s="4">
      <c r="A5" s="221" t="n"/>
      <c r="B5" s="221" t="n"/>
      <c r="C5" s="271" t="n"/>
      <c r="D5" s="221" t="n"/>
      <c r="E5" s="221" t="n"/>
      <c r="F5" s="221" t="n"/>
      <c r="G5" s="221" t="n"/>
      <c r="H5" s="221" t="n"/>
      <c r="I5" s="221" t="n"/>
      <c r="J5" s="221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62" t="inlineStr">
        <is>
          <t>КЛ 0,4 кВ (с алюминиевой жилой) сечение жилы 95 мм2, количество жил 5 шт.</t>
        </is>
      </c>
    </row>
    <row r="7" ht="12.75" customFormat="1" customHeight="1" s="4">
      <c r="A7" s="224" t="inlineStr">
        <is>
          <t>Единица измерения  — 1 км</t>
        </is>
      </c>
      <c r="I7" s="230" t="n"/>
      <c r="J7" s="230" t="n"/>
    </row>
    <row r="8" ht="13.5" customFormat="1" customHeight="1" s="4">
      <c r="A8" s="224" t="n"/>
    </row>
    <row r="9" ht="13.15" customFormat="1" customHeight="1" s="4"/>
    <row r="10" ht="27" customHeight="1">
      <c r="A10" s="250" t="inlineStr">
        <is>
          <t>№ пп.</t>
        </is>
      </c>
      <c r="B10" s="250" t="inlineStr">
        <is>
          <t>Код ресурса</t>
        </is>
      </c>
      <c r="C10" s="250" t="inlineStr">
        <is>
          <t>Наименование</t>
        </is>
      </c>
      <c r="D10" s="250" t="inlineStr">
        <is>
          <t>Ед. изм.</t>
        </is>
      </c>
      <c r="E10" s="250" t="inlineStr">
        <is>
          <t>Кол-во единиц по проектным данным</t>
        </is>
      </c>
      <c r="F10" s="250" t="inlineStr">
        <is>
          <t>Сметная стоимость в ценах на 01.01.2000 (руб.)</t>
        </is>
      </c>
      <c r="G10" s="315" t="n"/>
      <c r="H10" s="250" t="inlineStr">
        <is>
          <t>Удельный вес, %</t>
        </is>
      </c>
      <c r="I10" s="250" t="inlineStr">
        <is>
          <t>Сметная стоимость в ценах на 01.01.2023 (руб.)</t>
        </is>
      </c>
      <c r="J10" s="315" t="n"/>
      <c r="M10" s="12" t="n"/>
      <c r="N10" s="12" t="n"/>
    </row>
    <row r="11" ht="28.5" customHeight="1">
      <c r="A11" s="317" t="n"/>
      <c r="B11" s="317" t="n"/>
      <c r="C11" s="317" t="n"/>
      <c r="D11" s="317" t="n"/>
      <c r="E11" s="317" t="n"/>
      <c r="F11" s="250" t="inlineStr">
        <is>
          <t>на ед. изм.</t>
        </is>
      </c>
      <c r="G11" s="250" t="inlineStr">
        <is>
          <t>общая</t>
        </is>
      </c>
      <c r="H11" s="317" t="n"/>
      <c r="I11" s="250" t="inlineStr">
        <is>
          <t>на ед. изм.</t>
        </is>
      </c>
      <c r="J11" s="250" t="inlineStr">
        <is>
          <t>общая</t>
        </is>
      </c>
      <c r="M11" s="12" t="n"/>
      <c r="N11" s="12" t="n"/>
    </row>
    <row r="12">
      <c r="A12" s="250" t="n">
        <v>1</v>
      </c>
      <c r="B12" s="250" t="n">
        <v>2</v>
      </c>
      <c r="C12" s="250" t="n">
        <v>3</v>
      </c>
      <c r="D12" s="250" t="n">
        <v>4</v>
      </c>
      <c r="E12" s="250" t="n">
        <v>5</v>
      </c>
      <c r="F12" s="250" t="n">
        <v>6</v>
      </c>
      <c r="G12" s="250" t="n">
        <v>7</v>
      </c>
      <c r="H12" s="250" t="n">
        <v>8</v>
      </c>
      <c r="I12" s="245" t="n">
        <v>9</v>
      </c>
      <c r="J12" s="245" t="n">
        <v>10</v>
      </c>
      <c r="M12" s="12" t="n"/>
      <c r="N12" s="12" t="n"/>
    </row>
    <row r="13">
      <c r="A13" s="250" t="n"/>
      <c r="B13" s="239" t="inlineStr">
        <is>
          <t>Затраты труда рабочих-строителей</t>
        </is>
      </c>
      <c r="C13" s="314" t="n"/>
      <c r="D13" s="314" t="n"/>
      <c r="E13" s="314" t="n"/>
      <c r="F13" s="314" t="n"/>
      <c r="G13" s="314" t="n"/>
      <c r="H13" s="315" t="n"/>
      <c r="I13" s="125" t="n"/>
      <c r="J13" s="125" t="n"/>
    </row>
    <row r="14" ht="25.5" customHeight="1">
      <c r="A14" s="250" t="n">
        <v>1</v>
      </c>
      <c r="B14" s="135" t="inlineStr">
        <is>
          <t>1-3-8</t>
        </is>
      </c>
      <c r="C14" s="249" t="inlineStr">
        <is>
          <t>Затраты труда рабочих-строителей среднего разряда (3,8)</t>
        </is>
      </c>
      <c r="D14" s="250" t="inlineStr">
        <is>
          <t>чел.-ч.</t>
        </is>
      </c>
      <c r="E14" s="323">
        <f>G14/F14</f>
        <v/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50" t="n"/>
      <c r="B15" s="250" t="n"/>
      <c r="C15" s="239" t="inlineStr">
        <is>
          <t>Итого по разделу "Затраты труда рабочих-строителей"</t>
        </is>
      </c>
      <c r="D15" s="250" t="inlineStr">
        <is>
          <t>чел.-ч.</t>
        </is>
      </c>
      <c r="E15" s="324">
        <f>SUM(E14:E14)</f>
        <v/>
      </c>
      <c r="F15" s="32" t="n"/>
      <c r="G15" s="32">
        <f>SUM(G14:G14)</f>
        <v/>
      </c>
      <c r="H15" s="253" t="n">
        <v>1</v>
      </c>
      <c r="I15" s="125" t="n"/>
      <c r="J15" s="32">
        <f>SUM(J14:J14)</f>
        <v/>
      </c>
    </row>
    <row r="16" ht="14.25" customFormat="1" customHeight="1" s="12">
      <c r="A16" s="250" t="n"/>
      <c r="B16" s="249" t="inlineStr">
        <is>
          <t>Затраты труда машинистов</t>
        </is>
      </c>
      <c r="C16" s="314" t="n"/>
      <c r="D16" s="314" t="n"/>
      <c r="E16" s="314" t="n"/>
      <c r="F16" s="314" t="n"/>
      <c r="G16" s="314" t="n"/>
      <c r="H16" s="315" t="n"/>
      <c r="I16" s="125" t="n"/>
      <c r="J16" s="125" t="n"/>
    </row>
    <row r="17" ht="14.25" customFormat="1" customHeight="1" s="12">
      <c r="A17" s="250" t="n">
        <v>2</v>
      </c>
      <c r="B17" s="250" t="n">
        <v>2</v>
      </c>
      <c r="C17" s="249" t="inlineStr">
        <is>
          <t>Затраты труда машинистов</t>
        </is>
      </c>
      <c r="D17" s="250" t="inlineStr">
        <is>
          <t>чел.-ч.</t>
        </is>
      </c>
      <c r="E17" s="323" t="n">
        <v>18.8</v>
      </c>
      <c r="F17" s="32">
        <f>G17/E17</f>
        <v/>
      </c>
      <c r="G17" s="32">
        <f>'Прил. 3'!H13</f>
        <v/>
      </c>
      <c r="H17" s="253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50" t="n"/>
      <c r="B18" s="239" t="inlineStr">
        <is>
          <t>Машины и механизмы</t>
        </is>
      </c>
      <c r="C18" s="314" t="n"/>
      <c r="D18" s="314" t="n"/>
      <c r="E18" s="314" t="n"/>
      <c r="F18" s="314" t="n"/>
      <c r="G18" s="314" t="n"/>
      <c r="H18" s="315" t="n"/>
      <c r="I18" s="125" t="n"/>
      <c r="J18" s="125" t="n"/>
    </row>
    <row r="19" ht="14.25" customFormat="1" customHeight="1" s="12">
      <c r="A19" s="250" t="n"/>
      <c r="B19" s="249" t="inlineStr">
        <is>
          <t>Основные машины и механизмы</t>
        </is>
      </c>
      <c r="C19" s="314" t="n"/>
      <c r="D19" s="314" t="n"/>
      <c r="E19" s="314" t="n"/>
      <c r="F19" s="314" t="n"/>
      <c r="G19" s="314" t="n"/>
      <c r="H19" s="315" t="n"/>
      <c r="I19" s="125" t="n"/>
      <c r="J19" s="125" t="n"/>
    </row>
    <row r="20" ht="25.5" customFormat="1" customHeight="1" s="12">
      <c r="A20" s="250" t="n">
        <v>3</v>
      </c>
      <c r="B20" s="179" t="inlineStr">
        <is>
          <t>91.05.05-015</t>
        </is>
      </c>
      <c r="C20" s="171" t="inlineStr">
        <is>
          <t>Краны на автомобильном ходу, грузоподъемность 16 т</t>
        </is>
      </c>
      <c r="D20" s="268" t="inlineStr">
        <is>
          <t>маш.час</t>
        </is>
      </c>
      <c r="E20" s="325" t="n">
        <v>9.4</v>
      </c>
      <c r="F20" s="180" t="n">
        <v>115.4</v>
      </c>
      <c r="G20" s="32">
        <f>ROUND(E20*F20,2)</f>
        <v/>
      </c>
      <c r="H20" s="128">
        <f>G20/$G$26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50" t="n">
        <v>4</v>
      </c>
      <c r="B21" s="179" t="inlineStr">
        <is>
          <t>91.14.02-001</t>
        </is>
      </c>
      <c r="C21" s="171" t="inlineStr">
        <is>
          <t>Автомобили бортовые, грузоподъемность до 5 т</t>
        </is>
      </c>
      <c r="D21" s="268" t="inlineStr">
        <is>
          <t>маш.час</t>
        </is>
      </c>
      <c r="E21" s="325" t="n">
        <v>9.4</v>
      </c>
      <c r="F21" s="180" t="n">
        <v>65.70999999999999</v>
      </c>
      <c r="G21" s="32">
        <f>ROUND(E21*F21,2)</f>
        <v/>
      </c>
      <c r="H21" s="128">
        <f>G21/$G$26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50" t="n"/>
      <c r="B22" s="250" t="n"/>
      <c r="C22" s="249" t="inlineStr">
        <is>
          <t>Итого основные машины и механизмы</t>
        </is>
      </c>
      <c r="D22" s="250" t="n"/>
      <c r="E22" s="324" t="n"/>
      <c r="F22" s="32" t="n"/>
      <c r="G22" s="32">
        <f>SUM(G20:G21)</f>
        <v/>
      </c>
      <c r="H22" s="253">
        <f>G22/G26</f>
        <v/>
      </c>
      <c r="I22" s="127" t="n"/>
      <c r="J22" s="32">
        <f>SUM(J20:J21)</f>
        <v/>
      </c>
    </row>
    <row r="23" outlineLevel="1" ht="25.5" customFormat="1" customHeight="1" s="12">
      <c r="A23" s="250" t="n">
        <v>5</v>
      </c>
      <c r="B23" s="179" t="inlineStr">
        <is>
          <t>91.06.03-061</t>
        </is>
      </c>
      <c r="C23" s="171" t="inlineStr">
        <is>
          <t>Лебедки электрические тяговым усилием до 12,26 кН (1,25 т)</t>
        </is>
      </c>
      <c r="D23" s="268" t="inlineStr">
        <is>
          <t>маш.час</t>
        </is>
      </c>
      <c r="E23" s="325" t="n">
        <v>25.8</v>
      </c>
      <c r="F23" s="180" t="n">
        <v>3.28</v>
      </c>
      <c r="G23" s="32">
        <f>ROUND(E23*F23,2)</f>
        <v/>
      </c>
      <c r="H23" s="128">
        <f>G23/$G$26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12">
      <c r="A24" s="250" t="n">
        <v>6</v>
      </c>
      <c r="B24" s="179" t="inlineStr">
        <is>
          <t>91.06.01-003</t>
        </is>
      </c>
      <c r="C24" s="171" t="inlineStr">
        <is>
          <t>Домкраты гидравлические, грузоподъемность 63-100 т</t>
        </is>
      </c>
      <c r="D24" s="268" t="inlineStr">
        <is>
          <t>маш.час</t>
        </is>
      </c>
      <c r="E24" s="325" t="n">
        <v>25.8</v>
      </c>
      <c r="F24" s="180" t="n">
        <v>0.9</v>
      </c>
      <c r="G24" s="32">
        <f>ROUND(E24*F24,2)</f>
        <v/>
      </c>
      <c r="H24" s="128">
        <f>G24/$G$26</f>
        <v/>
      </c>
      <c r="I24" s="32">
        <f>ROUND(F24*'Прил. 10'!$D$12,2)</f>
        <v/>
      </c>
      <c r="J24" s="32">
        <f>ROUND(I24*E24,2)</f>
        <v/>
      </c>
    </row>
    <row r="25" ht="14.25" customFormat="1" customHeight="1" s="12">
      <c r="A25" s="250" t="n"/>
      <c r="B25" s="250" t="n"/>
      <c r="C25" s="249" t="inlineStr">
        <is>
          <t>Итого прочие машины и механизмы</t>
        </is>
      </c>
      <c r="D25" s="250" t="n"/>
      <c r="E25" s="251" t="n"/>
      <c r="F25" s="32" t="n"/>
      <c r="G25" s="127">
        <f>SUM(G23:G24)</f>
        <v/>
      </c>
      <c r="H25" s="128">
        <f>G25/G26</f>
        <v/>
      </c>
      <c r="I25" s="32" t="n"/>
      <c r="J25" s="32">
        <f>SUM(J23:J24)</f>
        <v/>
      </c>
    </row>
    <row r="26" ht="25.5" customFormat="1" customHeight="1" s="12">
      <c r="A26" s="250" t="n"/>
      <c r="B26" s="250" t="n"/>
      <c r="C26" s="239" t="inlineStr">
        <is>
          <t>Итого по разделу «Машины и механизмы»</t>
        </is>
      </c>
      <c r="D26" s="250" t="n"/>
      <c r="E26" s="251" t="n"/>
      <c r="F26" s="32" t="n"/>
      <c r="G26" s="32">
        <f>G25+G22</f>
        <v/>
      </c>
      <c r="H26" s="129" t="n">
        <v>1</v>
      </c>
      <c r="I26" s="130" t="n"/>
      <c r="J26" s="131">
        <f>J25+J22</f>
        <v/>
      </c>
    </row>
    <row r="27" ht="14.25" customFormat="1" customHeight="1" s="12">
      <c r="A27" s="250" t="n"/>
      <c r="B27" s="239" t="inlineStr">
        <is>
          <t>Оборудование</t>
        </is>
      </c>
      <c r="C27" s="314" t="n"/>
      <c r="D27" s="314" t="n"/>
      <c r="E27" s="314" t="n"/>
      <c r="F27" s="314" t="n"/>
      <c r="G27" s="314" t="n"/>
      <c r="H27" s="315" t="n"/>
      <c r="I27" s="125" t="n"/>
      <c r="J27" s="125" t="n"/>
    </row>
    <row r="28">
      <c r="A28" s="250" t="n"/>
      <c r="B28" s="249" t="inlineStr">
        <is>
          <t>Основное оборудование</t>
        </is>
      </c>
      <c r="C28" s="314" t="n"/>
      <c r="D28" s="314" t="n"/>
      <c r="E28" s="314" t="n"/>
      <c r="F28" s="314" t="n"/>
      <c r="G28" s="314" t="n"/>
      <c r="H28" s="315" t="n"/>
      <c r="I28" s="125" t="n"/>
      <c r="J28" s="125" t="n"/>
    </row>
    <row r="29">
      <c r="A29" s="250" t="n"/>
      <c r="B29" s="250" t="n"/>
      <c r="C29" s="249" t="inlineStr">
        <is>
          <t>Итого основное оборудование</t>
        </is>
      </c>
      <c r="D29" s="250" t="n"/>
      <c r="E29" s="323" t="n"/>
      <c r="F29" s="252" t="n"/>
      <c r="G29" s="32" t="n">
        <v>0</v>
      </c>
      <c r="H29" s="128" t="n">
        <v>0</v>
      </c>
      <c r="I29" s="127" t="n"/>
      <c r="J29" s="32" t="n">
        <v>0</v>
      </c>
    </row>
    <row r="30">
      <c r="A30" s="250" t="n"/>
      <c r="B30" s="250" t="n"/>
      <c r="C30" s="249" t="inlineStr">
        <is>
          <t>Итого прочее оборудование</t>
        </is>
      </c>
      <c r="D30" s="250" t="n"/>
      <c r="E30" s="324" t="n"/>
      <c r="F30" s="252" t="n"/>
      <c r="G30" s="32" t="n">
        <v>0</v>
      </c>
      <c r="H30" s="128" t="n">
        <v>0</v>
      </c>
      <c r="I30" s="127" t="n"/>
      <c r="J30" s="32" t="n">
        <v>0</v>
      </c>
    </row>
    <row r="31">
      <c r="A31" s="250" t="n"/>
      <c r="B31" s="250" t="n"/>
      <c r="C31" s="239" t="inlineStr">
        <is>
          <t>Итого по разделу «Оборудование»</t>
        </is>
      </c>
      <c r="D31" s="250" t="n"/>
      <c r="E31" s="251" t="n"/>
      <c r="F31" s="252" t="n"/>
      <c r="G31" s="32">
        <f>G29+G30</f>
        <v/>
      </c>
      <c r="H31" s="128" t="n">
        <v>0</v>
      </c>
      <c r="I31" s="127" t="n"/>
      <c r="J31" s="32">
        <f>J30+J29</f>
        <v/>
      </c>
    </row>
    <row r="32" ht="25.5" customHeight="1">
      <c r="A32" s="250" t="n"/>
      <c r="B32" s="250" t="n"/>
      <c r="C32" s="249" t="inlineStr">
        <is>
          <t>в том числе технологическое оборудование</t>
        </is>
      </c>
      <c r="D32" s="250" t="n"/>
      <c r="E32" s="323" t="n"/>
      <c r="F32" s="252" t="n"/>
      <c r="G32" s="32">
        <f>'Прил.6 Расчет ОБ'!G12</f>
        <v/>
      </c>
      <c r="H32" s="253" t="n"/>
      <c r="I32" s="127" t="n"/>
      <c r="J32" s="32">
        <f>J31</f>
        <v/>
      </c>
    </row>
    <row r="33" ht="14.25" customFormat="1" customHeight="1" s="12">
      <c r="A33" s="250" t="n"/>
      <c r="B33" s="239" t="inlineStr">
        <is>
          <t>Материалы</t>
        </is>
      </c>
      <c r="C33" s="314" t="n"/>
      <c r="D33" s="314" t="n"/>
      <c r="E33" s="314" t="n"/>
      <c r="F33" s="314" t="n"/>
      <c r="G33" s="314" t="n"/>
      <c r="H33" s="315" t="n"/>
      <c r="I33" s="125" t="n"/>
      <c r="J33" s="125" t="n"/>
    </row>
    <row r="34" ht="14.25" customFormat="1" customHeight="1" s="12">
      <c r="A34" s="245" t="n"/>
      <c r="B34" s="244" t="inlineStr">
        <is>
          <t>Основные материалы</t>
        </is>
      </c>
      <c r="C34" s="326" t="n"/>
      <c r="D34" s="326" t="n"/>
      <c r="E34" s="326" t="n"/>
      <c r="F34" s="326" t="n"/>
      <c r="G34" s="326" t="n"/>
      <c r="H34" s="327" t="n"/>
      <c r="I34" s="138" t="n"/>
      <c r="J34" s="138" t="n"/>
    </row>
    <row r="35" ht="25.5" customFormat="1" customHeight="1" s="12">
      <c r="A35" s="250" t="n">
        <v>7</v>
      </c>
      <c r="B35" s="194" t="inlineStr">
        <is>
          <t>БЦ.86.27</t>
        </is>
      </c>
      <c r="C35" s="171" t="inlineStr">
        <is>
          <t>Кабель силовой с алюминиевыми жилами 5x95 - 0,4 кВ</t>
        </is>
      </c>
      <c r="D35" s="250" t="inlineStr">
        <is>
          <t>км</t>
        </is>
      </c>
      <c r="E35" s="323" t="n">
        <v>1.1</v>
      </c>
      <c r="F35" s="32">
        <f>ROUND(I35/'Прил. 10'!$D$13,2)</f>
        <v/>
      </c>
      <c r="G35" s="32">
        <f>ROUND(E35*F35,2)</f>
        <v/>
      </c>
      <c r="H35" s="128">
        <f>G35/$G$43</f>
        <v/>
      </c>
      <c r="I35" s="32" t="n">
        <v>645819.15</v>
      </c>
      <c r="J35" s="32">
        <f>ROUND(I35*E35,2)</f>
        <v/>
      </c>
    </row>
    <row r="36" ht="14.25" customFormat="1" customHeight="1" s="12">
      <c r="A36" s="261" t="n"/>
      <c r="B36" s="140" t="n"/>
      <c r="C36" s="141" t="inlineStr">
        <is>
          <t>Итого основные материалы</t>
        </is>
      </c>
      <c r="D36" s="261" t="n"/>
      <c r="E36" s="328" t="n"/>
      <c r="F36" s="131" t="n"/>
      <c r="G36" s="131">
        <f>SUM(G35:G35)</f>
        <v/>
      </c>
      <c r="H36" s="128">
        <f>G36/$G$43</f>
        <v/>
      </c>
      <c r="I36" s="32" t="n"/>
      <c r="J36" s="131">
        <f>SUM(J35:J35)</f>
        <v/>
      </c>
    </row>
    <row r="37" outlineLevel="1" ht="25.5" customFormat="1" customHeight="1" s="12">
      <c r="A37" s="250" t="n">
        <v>8</v>
      </c>
      <c r="B37" s="179" t="inlineStr">
        <is>
          <t>08.3.08.02-0052</t>
        </is>
      </c>
      <c r="C37" s="171" t="inlineStr">
        <is>
          <t>Уголок горячекатаный, марка стали ВСт3кп2, размер 50х50х5 мм</t>
        </is>
      </c>
      <c r="D37" s="268" t="inlineStr">
        <is>
          <t>т</t>
        </is>
      </c>
      <c r="E37" s="325" t="n">
        <v>0.1</v>
      </c>
      <c r="F37" s="169" t="n">
        <v>5763</v>
      </c>
      <c r="G37" s="32">
        <f>ROUND(E37*F37,2)</f>
        <v/>
      </c>
      <c r="H37" s="128">
        <f>G37/$G$43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50" t="n">
        <v>9</v>
      </c>
      <c r="B38" s="179" t="inlineStr">
        <is>
          <t>14.4.02.09-0001</t>
        </is>
      </c>
      <c r="C38" s="171" t="inlineStr">
        <is>
          <t>Краска</t>
        </is>
      </c>
      <c r="D38" s="268" t="inlineStr">
        <is>
          <t>кг</t>
        </is>
      </c>
      <c r="E38" s="325" t="n">
        <v>2.5</v>
      </c>
      <c r="F38" s="169" t="n">
        <v>28.6</v>
      </c>
      <c r="G38" s="32">
        <f>ROUND(E38*F38,2)</f>
        <v/>
      </c>
      <c r="H38" s="128">
        <f>G38/$G$43</f>
        <v/>
      </c>
      <c r="I38" s="32">
        <f>ROUND(F38*'Прил. 10'!$D$13,2)</f>
        <v/>
      </c>
      <c r="J38" s="32">
        <f>ROUND(I38*E38,2)</f>
        <v/>
      </c>
    </row>
    <row r="39" outlineLevel="1" ht="38.25" customFormat="1" customHeight="1" s="12">
      <c r="A39" s="250" t="n">
        <v>10</v>
      </c>
      <c r="B39" s="179" t="inlineStr">
        <is>
          <t>08.3.07.01-0076</t>
        </is>
      </c>
      <c r="C39" s="171" t="inlineStr">
        <is>
          <t>Прокат полосовой, горячекатаный, марка стали Ст3сп, ширина 50-200 мм, толщина 4-5 мм</t>
        </is>
      </c>
      <c r="D39" s="268" t="inlineStr">
        <is>
          <t>т</t>
        </is>
      </c>
      <c r="E39" s="325" t="n">
        <v>0.01</v>
      </c>
      <c r="F39" s="169" t="n">
        <v>5000</v>
      </c>
      <c r="G39" s="32">
        <f>ROUND(E39*F39,2)</f>
        <v/>
      </c>
      <c r="H39" s="128">
        <f>G39/$G$43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50" t="n">
        <v>11</v>
      </c>
      <c r="B40" s="179" t="inlineStr">
        <is>
          <t>01.7.06.07-0002</t>
        </is>
      </c>
      <c r="C40" s="171" t="inlineStr">
        <is>
          <t>Лента монтажная, тип ЛМ-5</t>
        </is>
      </c>
      <c r="D40" s="268" t="inlineStr">
        <is>
          <t>10 м</t>
        </is>
      </c>
      <c r="E40" s="325" t="n">
        <v>0.96</v>
      </c>
      <c r="F40" s="169" t="n">
        <v>6.9</v>
      </c>
      <c r="G40" s="32">
        <f>ROUND(E40*F40,2)</f>
        <v/>
      </c>
      <c r="H40" s="128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50" t="n">
        <v>12</v>
      </c>
      <c r="B41" s="179" t="inlineStr">
        <is>
          <t>14.4.03.03-0002</t>
        </is>
      </c>
      <c r="C41" s="171" t="inlineStr">
        <is>
          <t>Лак битумный БТ-123</t>
        </is>
      </c>
      <c r="D41" s="268" t="inlineStr">
        <is>
          <t>т</t>
        </is>
      </c>
      <c r="E41" s="325" t="n">
        <v>0.0005999999999999999</v>
      </c>
      <c r="F41" s="169" t="n">
        <v>7826.9</v>
      </c>
      <c r="G41" s="32">
        <f>ROUND(E41*F41,2)</f>
        <v/>
      </c>
      <c r="H41" s="128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12">
      <c r="A42" s="250" t="n"/>
      <c r="B42" s="250" t="n"/>
      <c r="C42" s="249" t="inlineStr">
        <is>
          <t>Итого прочие материалы</t>
        </is>
      </c>
      <c r="D42" s="250" t="n"/>
      <c r="E42" s="323" t="n"/>
      <c r="F42" s="252" t="n"/>
      <c r="G42" s="32">
        <f>SUM(G37:G41)</f>
        <v/>
      </c>
      <c r="H42" s="128">
        <f>G42/$G$43</f>
        <v/>
      </c>
      <c r="I42" s="32" t="n"/>
      <c r="J42" s="32">
        <f>SUM(J37:J41)</f>
        <v/>
      </c>
    </row>
    <row r="43" ht="14.25" customFormat="1" customHeight="1" s="12">
      <c r="A43" s="250" t="n"/>
      <c r="B43" s="250" t="n"/>
      <c r="C43" s="239" t="inlineStr">
        <is>
          <t>Итого по разделу «Материалы»</t>
        </is>
      </c>
      <c r="D43" s="250" t="n"/>
      <c r="E43" s="251" t="n"/>
      <c r="F43" s="252" t="n"/>
      <c r="G43" s="32">
        <f>G36+G42</f>
        <v/>
      </c>
      <c r="H43" s="253">
        <f>G43/$G$43</f>
        <v/>
      </c>
      <c r="I43" s="32" t="n"/>
      <c r="J43" s="32">
        <f>J36+J42</f>
        <v/>
      </c>
    </row>
    <row r="44" ht="14.25" customFormat="1" customHeight="1" s="12">
      <c r="A44" s="250" t="n"/>
      <c r="B44" s="250" t="n"/>
      <c r="C44" s="249" t="inlineStr">
        <is>
          <t>ИТОГО ПО РМ</t>
        </is>
      </c>
      <c r="D44" s="250" t="n"/>
      <c r="E44" s="251" t="n"/>
      <c r="F44" s="252" t="n"/>
      <c r="G44" s="32">
        <f>G15+G26+G43</f>
        <v/>
      </c>
      <c r="H44" s="253" t="n"/>
      <c r="I44" s="32" t="n"/>
      <c r="J44" s="32">
        <f>J15+J26+J43</f>
        <v/>
      </c>
    </row>
    <row r="45" ht="14.25" customFormat="1" customHeight="1" s="12">
      <c r="A45" s="250" t="n"/>
      <c r="B45" s="250" t="n"/>
      <c r="C45" s="249" t="inlineStr">
        <is>
          <t>Накладные расходы</t>
        </is>
      </c>
      <c r="D45" s="133">
        <f>ROUND(G45/(G$17+$G$15),2)</f>
        <v/>
      </c>
      <c r="E45" s="251" t="n"/>
      <c r="F45" s="252" t="n"/>
      <c r="G45" s="32" t="n">
        <v>1264.59</v>
      </c>
      <c r="H45" s="253" t="n"/>
      <c r="I45" s="32" t="n"/>
      <c r="J45" s="32">
        <f>ROUND(D45*(J15+J17),2)</f>
        <v/>
      </c>
    </row>
    <row r="46" ht="14.25" customFormat="1" customHeight="1" s="12">
      <c r="A46" s="250" t="n"/>
      <c r="B46" s="250" t="n"/>
      <c r="C46" s="249" t="inlineStr">
        <is>
          <t>Сметная прибыль</t>
        </is>
      </c>
      <c r="D46" s="133">
        <f>ROUND(G46/(G$15+G$17),2)</f>
        <v/>
      </c>
      <c r="E46" s="251" t="n"/>
      <c r="F46" s="252" t="n"/>
      <c r="G46" s="32" t="n">
        <v>664.89</v>
      </c>
      <c r="H46" s="253" t="n"/>
      <c r="I46" s="32" t="n"/>
      <c r="J46" s="32">
        <f>ROUND(D46*(J15+J17),2)</f>
        <v/>
      </c>
    </row>
    <row r="47" ht="14.25" customFormat="1" customHeight="1" s="12">
      <c r="A47" s="250" t="n"/>
      <c r="B47" s="250" t="n"/>
      <c r="C47" s="249" t="inlineStr">
        <is>
          <t>Итого СМР (с НР и СП)</t>
        </is>
      </c>
      <c r="D47" s="250" t="n"/>
      <c r="E47" s="251" t="n"/>
      <c r="F47" s="252" t="n"/>
      <c r="G47" s="32">
        <f>G15+G26+G43+G45+G46</f>
        <v/>
      </c>
      <c r="H47" s="253" t="n"/>
      <c r="I47" s="32" t="n"/>
      <c r="J47" s="32">
        <f>J15+J26+J43+J45+J46</f>
        <v/>
      </c>
    </row>
    <row r="48" ht="14.25" customFormat="1" customHeight="1" s="12">
      <c r="A48" s="250" t="n"/>
      <c r="B48" s="250" t="n"/>
      <c r="C48" s="249" t="inlineStr">
        <is>
          <t>ВСЕГО СМР + ОБОРУДОВАНИЕ</t>
        </is>
      </c>
      <c r="D48" s="250" t="n"/>
      <c r="E48" s="251" t="n"/>
      <c r="F48" s="252" t="n"/>
      <c r="G48" s="32">
        <f>G47+G31</f>
        <v/>
      </c>
      <c r="H48" s="253" t="n"/>
      <c r="I48" s="32" t="n"/>
      <c r="J48" s="32">
        <f>J47+J31</f>
        <v/>
      </c>
    </row>
    <row r="49" ht="34.5" customFormat="1" customHeight="1" s="12">
      <c r="A49" s="250" t="n"/>
      <c r="B49" s="250" t="n"/>
      <c r="C49" s="249" t="inlineStr">
        <is>
          <t>ИТОГО ПОКАЗАТЕЛЬ НА ЕД. ИЗМ.</t>
        </is>
      </c>
      <c r="D49" s="250" t="inlineStr">
        <is>
          <t>1 км</t>
        </is>
      </c>
      <c r="E49" s="323" t="n">
        <v>1</v>
      </c>
      <c r="F49" s="252" t="n"/>
      <c r="G49" s="32">
        <f>G48/E49</f>
        <v/>
      </c>
      <c r="H49" s="253" t="n"/>
      <c r="I49" s="32" t="n"/>
      <c r="J49" s="32">
        <f>J48/E49</f>
        <v/>
      </c>
    </row>
    <row r="51" ht="14.25" customFormat="1" customHeight="1" s="12">
      <c r="A51" s="4" t="inlineStr">
        <is>
          <t>Составил ______________________    А.Р. Маркова</t>
        </is>
      </c>
    </row>
    <row r="52" ht="14.25" customFormat="1" customHeight="1" s="12">
      <c r="A52" s="33" t="inlineStr">
        <is>
          <t xml:space="preserve">                         (подпись, инициалы, фамилия)</t>
        </is>
      </c>
    </row>
    <row r="53" ht="14.25" customFormat="1" customHeight="1" s="12">
      <c r="A53" s="4" t="n"/>
    </row>
    <row r="54" ht="14.25" customFormat="1" customHeight="1" s="12">
      <c r="A54" s="4" t="inlineStr">
        <is>
          <t>Проверил ______________________        А.В. Костянецкая</t>
        </is>
      </c>
    </row>
    <row r="55" ht="14.25" customFormat="1" customHeight="1" s="12">
      <c r="A55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3" t="inlineStr">
        <is>
          <t>Приложение №6</t>
        </is>
      </c>
    </row>
    <row r="2" ht="21.75" customHeight="1">
      <c r="A2" s="263" t="n"/>
      <c r="B2" s="263" t="n"/>
      <c r="C2" s="263" t="n"/>
      <c r="D2" s="263" t="n"/>
      <c r="E2" s="263" t="n"/>
      <c r="F2" s="263" t="n"/>
      <c r="G2" s="263" t="n"/>
    </row>
    <row r="3">
      <c r="A3" s="221" t="inlineStr">
        <is>
          <t>Расчет стоимости оборудования</t>
        </is>
      </c>
    </row>
    <row r="4" ht="25.5" customHeight="1">
      <c r="A4" s="224" t="inlineStr">
        <is>
          <t>Наименование разрабатываемого показателя УНЦ — КЛ 0,4 кВ (с алюминиевой жилой) сечение жилы 95 мм2, количество жил 5 шт.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8" t="inlineStr">
        <is>
          <t>№ пп.</t>
        </is>
      </c>
      <c r="B6" s="268" t="inlineStr">
        <is>
          <t>Код ресурса</t>
        </is>
      </c>
      <c r="C6" s="268" t="inlineStr">
        <is>
          <t>Наименование</t>
        </is>
      </c>
      <c r="D6" s="268" t="inlineStr">
        <is>
          <t>Ед. изм.</t>
        </is>
      </c>
      <c r="E6" s="250" t="inlineStr">
        <is>
          <t>Кол-во единиц по проектным данным</t>
        </is>
      </c>
      <c r="F6" s="268" t="inlineStr">
        <is>
          <t>Сметная стоимость в ценах на 01.01.2000 (руб.)</t>
        </is>
      </c>
      <c r="G6" s="315" t="n"/>
    </row>
    <row r="7">
      <c r="A7" s="317" t="n"/>
      <c r="B7" s="317" t="n"/>
      <c r="C7" s="317" t="n"/>
      <c r="D7" s="317" t="n"/>
      <c r="E7" s="317" t="n"/>
      <c r="F7" s="250" t="inlineStr">
        <is>
          <t>на ед. изм.</t>
        </is>
      </c>
      <c r="G7" s="250" t="inlineStr">
        <is>
          <t>общая</t>
        </is>
      </c>
    </row>
    <row r="8">
      <c r="A8" s="250" t="n">
        <v>1</v>
      </c>
      <c r="B8" s="250" t="n">
        <v>2</v>
      </c>
      <c r="C8" s="250" t="n">
        <v>3</v>
      </c>
      <c r="D8" s="250" t="n">
        <v>4</v>
      </c>
      <c r="E8" s="250" t="n">
        <v>5</v>
      </c>
      <c r="F8" s="250" t="n">
        <v>6</v>
      </c>
      <c r="G8" s="250" t="n">
        <v>7</v>
      </c>
    </row>
    <row r="9" ht="15" customHeight="1">
      <c r="A9" s="25" t="n"/>
      <c r="B9" s="249" t="inlineStr">
        <is>
          <t>ИНЖЕНЕРНОЕ ОБОРУДОВАНИЕ</t>
        </is>
      </c>
      <c r="C9" s="314" t="n"/>
      <c r="D9" s="314" t="n"/>
      <c r="E9" s="314" t="n"/>
      <c r="F9" s="314" t="n"/>
      <c r="G9" s="315" t="n"/>
    </row>
    <row r="10" ht="27" customHeight="1">
      <c r="A10" s="250" t="n"/>
      <c r="B10" s="239" t="n"/>
      <c r="C10" s="249" t="inlineStr">
        <is>
          <t>ИТОГО ИНЖЕНЕРНОЕ ОБОРУДОВАНИЕ</t>
        </is>
      </c>
      <c r="D10" s="239" t="n"/>
      <c r="E10" s="105" t="n"/>
      <c r="F10" s="252" t="n"/>
      <c r="G10" s="252" t="n">
        <v>0</v>
      </c>
    </row>
    <row r="11">
      <c r="A11" s="250" t="n"/>
      <c r="B11" s="249" t="inlineStr">
        <is>
          <t>ТЕХНОЛОГИЧЕСКОЕ ОБОРУДОВАНИЕ</t>
        </is>
      </c>
      <c r="C11" s="314" t="n"/>
      <c r="D11" s="314" t="n"/>
      <c r="E11" s="314" t="n"/>
      <c r="F11" s="314" t="n"/>
      <c r="G11" s="315" t="n"/>
    </row>
    <row r="12" ht="25.5" customHeight="1">
      <c r="A12" s="250" t="n"/>
      <c r="B12" s="249" t="n"/>
      <c r="C12" s="249" t="inlineStr">
        <is>
          <t>ИТОГО ТЕХНОЛОГИЧЕСКОЕ ОБОРУДОВАНИЕ</t>
        </is>
      </c>
      <c r="D12" s="249" t="n"/>
      <c r="E12" s="267" t="n"/>
      <c r="F12" s="252" t="n"/>
      <c r="G12" s="32" t="n">
        <v>0</v>
      </c>
    </row>
    <row r="13" ht="19.5" customHeight="1">
      <c r="A13" s="250" t="n"/>
      <c r="B13" s="249" t="n"/>
      <c r="C13" s="249" t="inlineStr">
        <is>
          <t>Всего по разделу «Оборудование»</t>
        </is>
      </c>
      <c r="D13" s="249" t="n"/>
      <c r="E13" s="267" t="n"/>
      <c r="F13" s="252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69" t="inlineStr">
        <is>
          <t xml:space="preserve">Наименование разрабатываемого показателя УНЦ - </t>
        </is>
      </c>
      <c r="D5" s="269">
        <f>'Прил.5 Расчет СМР и ОБ'!D6:J6</f>
        <v/>
      </c>
    </row>
    <row r="6" ht="15.75" customHeight="1">
      <c r="A6" s="143" t="inlineStr">
        <is>
          <t>Единица измерения  — 1 км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6" t="inlineStr">
        <is>
          <t>Код показателя</t>
        </is>
      </c>
      <c r="B8" s="236" t="inlineStr">
        <is>
          <t>Наименование показателя</t>
        </is>
      </c>
      <c r="C8" s="236" t="inlineStr">
        <is>
          <t>Наименование РМ, входящих в состав показателя</t>
        </is>
      </c>
      <c r="D8" s="236" t="inlineStr">
        <is>
          <t>Норматив цены на 01.01.2023, тыс.руб.</t>
        </is>
      </c>
    </row>
    <row r="9">
      <c r="A9" s="317" t="n"/>
      <c r="B9" s="317" t="n"/>
      <c r="C9" s="317" t="n"/>
      <c r="D9" s="317" t="n"/>
    </row>
    <row r="10" ht="15.75" customHeight="1">
      <c r="A10" s="236" t="n">
        <v>1</v>
      </c>
      <c r="B10" s="236" t="n">
        <v>2</v>
      </c>
      <c r="C10" s="236" t="n">
        <v>3</v>
      </c>
      <c r="D10" s="236" t="n">
        <v>4</v>
      </c>
    </row>
    <row r="11" ht="47.25" customHeight="1">
      <c r="A11" s="236" t="inlineStr">
        <is>
          <t>К3-06-3</t>
        </is>
      </c>
      <c r="B11" s="236" t="inlineStr">
        <is>
          <t xml:space="preserve">УНЦ КЛ 0,4 кВ </t>
        </is>
      </c>
      <c r="C11" s="196">
        <f>D5</f>
        <v/>
      </c>
      <c r="D11" s="197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31" t="inlineStr">
        <is>
          <t>Приложение № 10</t>
        </is>
      </c>
    </row>
    <row r="5" ht="18.75" customHeight="1">
      <c r="B5" s="117" t="n"/>
    </row>
    <row r="6" ht="15.75" customHeight="1">
      <c r="B6" s="232" t="inlineStr">
        <is>
          <t>Используемые индексы изменений сметной стоимости и нормы сопутствующих затрат</t>
        </is>
      </c>
    </row>
    <row r="7">
      <c r="B7" s="270" t="n"/>
    </row>
    <row r="8">
      <c r="B8" s="270" t="n"/>
      <c r="C8" s="270" t="n"/>
      <c r="D8" s="270" t="n"/>
      <c r="E8" s="270" t="n"/>
    </row>
    <row r="9" ht="47.25" customHeight="1">
      <c r="B9" s="236" t="inlineStr">
        <is>
          <t>Наименование индекса / норм сопутствующих затрат</t>
        </is>
      </c>
      <c r="C9" s="236" t="inlineStr">
        <is>
          <t>Дата применения и обоснование индекса / норм сопутствующих затрат</t>
        </is>
      </c>
      <c r="D9" s="236" t="inlineStr">
        <is>
          <t>Размер индекса / норма сопутствующих затрат</t>
        </is>
      </c>
    </row>
    <row r="10" ht="15.75" customHeight="1">
      <c r="B10" s="236" t="n">
        <v>1</v>
      </c>
      <c r="C10" s="236" t="n">
        <v>2</v>
      </c>
      <c r="D10" s="236" t="n">
        <v>3</v>
      </c>
    </row>
    <row r="11" ht="47.25" customHeight="1">
      <c r="B11" s="236" t="inlineStr">
        <is>
          <t xml:space="preserve">Индекс изменения сметной стоимости на 1 квартал 2023 года. ОЗП </t>
        </is>
      </c>
      <c r="C11" s="236" t="inlineStr">
        <is>
          <t>Письмо Минстроя России от 30.03.2023г. №17106-ИФ/09  прил.1</t>
        </is>
      </c>
      <c r="D11" s="236" t="n">
        <v>44.29</v>
      </c>
    </row>
    <row r="12" ht="47.25" customHeight="1">
      <c r="B12" s="236" t="inlineStr">
        <is>
          <t>Индекс изменения сметной стоимости на 1 квартал 2023 года. ЭМ</t>
        </is>
      </c>
      <c r="C12" s="236" t="inlineStr">
        <is>
          <t>Письмо Минстроя России от 30.03.2023г. №17106-ИФ/09  прил.1</t>
        </is>
      </c>
      <c r="D12" s="236" t="n">
        <v>10.77</v>
      </c>
    </row>
    <row r="13" ht="47.25" customHeight="1">
      <c r="B13" s="236" t="inlineStr">
        <is>
          <t>Индекс изменения сметной стоимости на 1 квартал 2023 года. МАТ</t>
        </is>
      </c>
      <c r="C13" s="236" t="inlineStr">
        <is>
          <t>Письмо Минстроя России от 30.03.2023г. №17106-ИФ/09  прил.1</t>
        </is>
      </c>
      <c r="D13" s="236" t="n">
        <v>4.39</v>
      </c>
    </row>
    <row r="14" ht="31.5" customHeight="1">
      <c r="B14" s="236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6" t="n">
        <v>6.26</v>
      </c>
    </row>
    <row r="15" ht="94.5" customHeight="1">
      <c r="B15" s="236" t="inlineStr">
        <is>
          <t>Временные здания и сооружения</t>
        </is>
      </c>
      <c r="C15" s="236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6" t="inlineStr">
        <is>
          <t>Дополнительные затраты при производстве строительно-монтажных работ в зимнее время</t>
        </is>
      </c>
      <c r="C16" s="23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6" t="inlineStr">
        <is>
          <t>Строительный контроль</t>
        </is>
      </c>
      <c r="C17" s="236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6" t="inlineStr">
        <is>
          <t>Авторский надзор - 0,2%</t>
        </is>
      </c>
      <c r="C18" s="236" t="inlineStr">
        <is>
          <t>Приказ от 4.08.2020 № 421/пр п.173</t>
        </is>
      </c>
      <c r="D18" s="120" t="n">
        <v>0.002</v>
      </c>
    </row>
    <row r="19" ht="31.5" customHeight="1">
      <c r="B19" s="236" t="inlineStr">
        <is>
          <t>Непредвиденные расходы</t>
        </is>
      </c>
      <c r="C19" s="236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12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3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5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8" t="inlineStr">
        <is>
          <t>№ пп.</t>
        </is>
      </c>
      <c r="B5" s="198" t="inlineStr">
        <is>
          <t>Наименование элемента</t>
        </is>
      </c>
      <c r="C5" s="198" t="inlineStr">
        <is>
          <t>Обозначение</t>
        </is>
      </c>
      <c r="D5" s="198" t="inlineStr">
        <is>
          <t>Формула</t>
        </is>
      </c>
      <c r="E5" s="198" t="inlineStr">
        <is>
          <t>Величина элемента</t>
        </is>
      </c>
      <c r="F5" s="198" t="inlineStr">
        <is>
          <t>Наименования обосновывающих документов</t>
        </is>
      </c>
      <c r="G5" s="143" t="n"/>
    </row>
    <row r="6" ht="15.75" customHeight="1">
      <c r="A6" s="198" t="n">
        <v>1</v>
      </c>
      <c r="B6" s="198" t="n">
        <v>2</v>
      </c>
      <c r="C6" s="198" t="n">
        <v>3</v>
      </c>
      <c r="D6" s="198" t="n">
        <v>4</v>
      </c>
      <c r="E6" s="198" t="n">
        <v>5</v>
      </c>
      <c r="F6" s="198" t="n">
        <v>6</v>
      </c>
      <c r="G6" s="143" t="n"/>
    </row>
    <row r="7" ht="110.25" customHeight="1">
      <c r="A7" s="206" t="inlineStr">
        <is>
          <t>1.1</t>
        </is>
      </c>
      <c r="B7" s="20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6" t="inlineStr">
        <is>
          <t>С1ср</t>
        </is>
      </c>
      <c r="D7" s="236" t="inlineStr">
        <is>
          <t>-</t>
        </is>
      </c>
      <c r="E7" s="61" t="n">
        <v>47872.94</v>
      </c>
      <c r="F7" s="20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6" t="inlineStr">
        <is>
          <t>1.2</t>
        </is>
      </c>
      <c r="B8" s="207" t="inlineStr">
        <is>
          <t>Среднегодовое нормативное число часов работы одного рабочего в месяц, часы (ч.)</t>
        </is>
      </c>
      <c r="C8" s="236" t="inlineStr">
        <is>
          <t>tср</t>
        </is>
      </c>
      <c r="D8" s="236" t="inlineStr">
        <is>
          <t>1973ч/12мес.</t>
        </is>
      </c>
      <c r="E8" s="197">
        <f>1973/12</f>
        <v/>
      </c>
      <c r="F8" s="207" t="inlineStr">
        <is>
          <t>Производственный календарь 2023 год
(40-часов.неделя)</t>
        </is>
      </c>
      <c r="G8" s="208" t="n"/>
    </row>
    <row r="9" ht="15.75" customHeight="1">
      <c r="A9" s="206" t="inlineStr">
        <is>
          <t>1.3</t>
        </is>
      </c>
      <c r="B9" s="207" t="inlineStr">
        <is>
          <t>Коэффициент увеличения</t>
        </is>
      </c>
      <c r="C9" s="236" t="inlineStr">
        <is>
          <t>Кув</t>
        </is>
      </c>
      <c r="D9" s="236" t="inlineStr">
        <is>
          <t>-</t>
        </is>
      </c>
      <c r="E9" s="197" t="n">
        <v>1</v>
      </c>
      <c r="F9" s="207" t="n"/>
      <c r="G9" s="208" t="n"/>
    </row>
    <row r="10" ht="15.75" customHeight="1">
      <c r="A10" s="206" t="inlineStr">
        <is>
          <t>1.4</t>
        </is>
      </c>
      <c r="B10" s="207" t="inlineStr">
        <is>
          <t>Средний разряд работ</t>
        </is>
      </c>
      <c r="C10" s="236" t="n"/>
      <c r="D10" s="236" t="n"/>
      <c r="E10" s="329" t="n">
        <v>3.8</v>
      </c>
      <c r="F10" s="207" t="inlineStr">
        <is>
          <t>РТМ</t>
        </is>
      </c>
      <c r="G10" s="208" t="n"/>
    </row>
    <row r="11" ht="78.75" customHeight="1">
      <c r="A11" s="206" t="inlineStr">
        <is>
          <t>1.5</t>
        </is>
      </c>
      <c r="B11" s="207" t="inlineStr">
        <is>
          <t>Тарифный коэффициент среднего разряда работ</t>
        </is>
      </c>
      <c r="C11" s="236" t="inlineStr">
        <is>
          <t>КТ</t>
        </is>
      </c>
      <c r="D11" s="236" t="inlineStr">
        <is>
          <t>-</t>
        </is>
      </c>
      <c r="E11" s="330" t="n">
        <v>1.308</v>
      </c>
      <c r="F11" s="20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11" t="inlineStr">
        <is>
          <t>1.6</t>
        </is>
      </c>
      <c r="B12" s="213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31" t="n">
        <v>1.139</v>
      </c>
      <c r="F12" s="21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6" t="inlineStr">
        <is>
          <t>1.7</t>
        </is>
      </c>
      <c r="B13" s="217" t="inlineStr">
        <is>
          <t>Размер средств на оплату труда рабочих-строителей в текущем уровне цен (ФОТр.тек.), руб/чел.-ч</t>
        </is>
      </c>
      <c r="C13" s="218" t="inlineStr">
        <is>
          <t>ФОТр.тек.</t>
        </is>
      </c>
      <c r="D13" s="218" t="inlineStr">
        <is>
          <t>(С1ср/tср*КТ*Т*Кув)*Кинф</t>
        </is>
      </c>
      <c r="E13" s="219">
        <f>((E7*E9/E8)*E11)*E12</f>
        <v/>
      </c>
      <c r="F13" s="2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2025-01-24T12:07:43Z</dcterms:modified>
  <cp:lastModifiedBy>112</cp:lastModifiedBy>
</cp:coreProperties>
</file>