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18045" yWindow="2775" windowWidth="10245" windowHeight="11700" tabRatio="924" firstSheet="9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3'!$A$1:$H$33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ОБ'!$A$1:$J$56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_-* #,##0\ _₽_-;\-* #,##0\ _₽_-;_-* &quot;-&quot;??\ _₽_-;_-@_-"/>
    <numFmt numFmtId="165" formatCode="#,##0.0000"/>
    <numFmt numFmtId="166" formatCode="0.0000"/>
    <numFmt numFmtId="167" formatCode="#,##0.0"/>
    <numFmt numFmtId="168" formatCode="#,##0.000"/>
  </numFmts>
  <fonts count="33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Calibri"/>
      <b val="1"/>
      <color rgb="FF000000"/>
      <sz val="12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23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49" fontId="1" fillId="0" borderId="1" applyAlignment="1" pivotButton="0" quotePrefix="0" xfId="0">
      <alignment horizontal="center" vertical="top" wrapText="1"/>
    </xf>
    <xf numFmtId="1" fontId="1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10" fontId="16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66" fontId="1" fillId="0" borderId="4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top" wrapText="1"/>
    </xf>
    <xf numFmtId="4" fontId="1" fillId="4" borderId="1" applyAlignment="1" pivotButton="0" quotePrefix="0" xfId="0">
      <alignment horizontal="right" vertical="center"/>
    </xf>
    <xf numFmtId="49" fontId="1" fillId="0" borderId="4" applyAlignment="1" pivotButton="0" quotePrefix="0" xfId="0">
      <alignment horizontal="center" vertical="top" wrapText="1"/>
    </xf>
    <xf numFmtId="0" fontId="1" fillId="0" borderId="4" applyAlignment="1" pivotButton="0" quotePrefix="0" xfId="0">
      <alignment horizontal="left" vertical="top" wrapText="1"/>
    </xf>
    <xf numFmtId="0" fontId="1" fillId="0" borderId="4" applyAlignment="1" pivotButton="0" quotePrefix="0" xfId="0">
      <alignment horizontal="center" vertical="top" wrapText="1"/>
    </xf>
    <xf numFmtId="4" fontId="1" fillId="0" borderId="4" applyAlignment="1" pivotButton="0" quotePrefix="0" xfId="0">
      <alignment horizontal="right" vertical="top" wrapText="1"/>
    </xf>
    <xf numFmtId="166" fontId="1" fillId="0" borderId="1" applyAlignment="1" pivotButton="0" quotePrefix="0" xfId="0">
      <alignment horizontal="center" vertical="top" wrapText="1"/>
    </xf>
    <xf numFmtId="0" fontId="1" fillId="0" borderId="6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0" fontId="1" fillId="4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left" vertical="center" wrapText="1"/>
    </xf>
    <xf numFmtId="4" fontId="16" fillId="0" borderId="0" applyAlignment="1" pivotButton="0" quotePrefix="0" xfId="0">
      <alignment horizontal="left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2" fontId="16" fillId="0" borderId="1" applyAlignment="1" pivotButton="0" quotePrefix="0" xfId="0">
      <alignment horizontal="center" vertical="center" wrapText="1"/>
    </xf>
    <xf numFmtId="0" fontId="15" fillId="0" borderId="1" applyAlignment="1" pivotButton="0" quotePrefix="0" xfId="0">
      <alignment vertical="center" wrapText="1"/>
    </xf>
    <xf numFmtId="49" fontId="15" fillId="0" borderId="1" applyAlignment="1" pivotButton="0" quotePrefix="0" xfId="0">
      <alignment vertical="center" wrapText="1"/>
    </xf>
    <xf numFmtId="2" fontId="15" fillId="0" borderId="1" applyAlignment="1" pivotButton="0" quotePrefix="0" xfId="0">
      <alignment vertical="center" wrapText="1"/>
    </xf>
    <xf numFmtId="0" fontId="22" fillId="0" borderId="1" applyAlignment="1" pivotButton="0" quotePrefix="0" xfId="0">
      <alignment vertical="center" wrapText="1"/>
    </xf>
    <xf numFmtId="2" fontId="22" fillId="0" borderId="1" applyAlignment="1" pivotButton="0" quotePrefix="0" xfId="0">
      <alignment vertical="center" wrapText="1"/>
    </xf>
    <xf numFmtId="49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23" fillId="0" borderId="0" applyAlignment="1" pivotButton="0" quotePrefix="0" xfId="0">
      <alignment vertical="center"/>
    </xf>
    <xf numFmtId="167" fontId="16" fillId="0" borderId="1" applyAlignment="1" pivotButton="0" quotePrefix="0" xfId="0">
      <alignment horizontal="center" vertical="center"/>
    </xf>
    <xf numFmtId="168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31" fillId="0" borderId="0" pivotButton="0" quotePrefix="0" xfId="0"/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8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5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6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6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9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9" pivotButton="0" quotePrefix="0" xfId="0"/>
    <xf numFmtId="0" fontId="0" fillId="0" borderId="7" pivotButton="0" quotePrefix="0" xfId="0"/>
    <xf numFmtId="0" fontId="0" fillId="0" borderId="6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6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top" wrapText="1"/>
    </xf>
    <xf numFmtId="0" fontId="0" fillId="0" borderId="12" pivotButton="0" quotePrefix="0" xfId="0"/>
    <xf numFmtId="0" fontId="0" fillId="0" borderId="13" pivotButton="0" quotePrefix="0" xfId="0"/>
    <xf numFmtId="166" fontId="1" fillId="0" borderId="4" applyAlignment="1" pivotButton="0" quotePrefix="0" xfId="0">
      <alignment horizontal="center" vertical="center" wrapText="1"/>
    </xf>
    <xf numFmtId="167" fontId="16" fillId="0" borderId="1" applyAlignment="1" pivotButton="0" quotePrefix="0" xfId="0">
      <alignment horizontal="center" vertical="center"/>
    </xf>
    <xf numFmtId="168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view="pageBreakPreview" topLeftCell="A21" zoomScale="55" zoomScaleNormal="55" workbookViewId="0">
      <selection activeCell="D27" sqref="D27"/>
    </sheetView>
  </sheetViews>
  <sheetFormatPr baseColWidth="8" defaultColWidth="9.140625" defaultRowHeight="15.75"/>
  <cols>
    <col width="9.140625" customWidth="1" style="143" min="1" max="2"/>
    <col width="51.7109375" customWidth="1" style="143" min="3" max="3"/>
    <col width="47" customWidth="1" style="143" min="4" max="4"/>
    <col width="37.42578125" customWidth="1" style="143" min="5" max="5"/>
    <col width="9.140625" customWidth="1" style="143" min="6" max="6"/>
  </cols>
  <sheetData>
    <row r="3">
      <c r="B3" s="225" t="inlineStr">
        <is>
          <t>Приложение № 1</t>
        </is>
      </c>
    </row>
    <row r="4">
      <c r="B4" s="226" t="inlineStr">
        <is>
          <t>Сравнительная таблица отбора объекта-представителя</t>
        </is>
      </c>
    </row>
    <row r="5" ht="84" customHeight="1">
      <c r="B5" s="228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>
      <c r="B6" s="167" t="n"/>
      <c r="C6" s="167" t="n"/>
      <c r="D6" s="167" t="n"/>
    </row>
    <row r="7" ht="28.9" customHeight="1">
      <c r="B7" s="227" t="inlineStr">
        <is>
          <t>Наименование разрабатываемого показателя УНЦ - Муфта концевая до 1 кВ сечением до 120 мм2</t>
        </is>
      </c>
    </row>
    <row r="8" ht="31.5" customHeight="1">
      <c r="B8" s="227" t="inlineStr">
        <is>
          <t>Сопоставимый уровень цен: 1 кв. 2018 г.</t>
        </is>
      </c>
    </row>
    <row r="9" ht="15.75" customHeight="1">
      <c r="B9" s="227" t="inlineStr">
        <is>
          <t>Единица измерения  — 1 ед</t>
        </is>
      </c>
    </row>
    <row r="10">
      <c r="B10" s="227" t="n"/>
    </row>
    <row r="11">
      <c r="B11" s="230" t="inlineStr">
        <is>
          <t>№ п/п</t>
        </is>
      </c>
      <c r="C11" s="230" t="inlineStr">
        <is>
          <t>Параметр</t>
        </is>
      </c>
      <c r="D11" s="230" t="inlineStr">
        <is>
          <t xml:space="preserve">Объект-представитель </t>
        </is>
      </c>
      <c r="E11" s="152" t="n"/>
    </row>
    <row r="12" ht="96.75" customHeight="1">
      <c r="B12" s="230" t="n">
        <v>1</v>
      </c>
      <c r="C12" s="147" t="inlineStr">
        <is>
          <t>Наименование объекта-представителя</t>
        </is>
      </c>
      <c r="D12" s="230" t="inlineStr">
        <is>
          <t>Перевод потребителей с напряжения 0,23 кВ на 0,4 кВ в городе Калининграде со строительством и реконструкцией 42 трансформаторных подстанций мощностью 12,22 МВА и 98,05 км линий электропередачи</t>
        </is>
      </c>
    </row>
    <row r="13">
      <c r="B13" s="230" t="n">
        <v>2</v>
      </c>
      <c r="C13" s="147" t="inlineStr">
        <is>
          <t>Наименование субъекта Российской Федерации</t>
        </is>
      </c>
      <c r="D13" s="230" t="inlineStr">
        <is>
          <t>Калининградская область</t>
        </is>
      </c>
    </row>
    <row r="14">
      <c r="B14" s="230" t="n">
        <v>3</v>
      </c>
      <c r="C14" s="147" t="inlineStr">
        <is>
          <t>Климатический район и подрайон</t>
        </is>
      </c>
      <c r="D14" s="230" t="inlineStr">
        <is>
          <t>IIБ</t>
        </is>
      </c>
    </row>
    <row r="15">
      <c r="B15" s="230" t="n">
        <v>4</v>
      </c>
      <c r="C15" s="147" t="inlineStr">
        <is>
          <t>Мощность объекта</t>
        </is>
      </c>
      <c r="D15" s="230" t="n">
        <v>1</v>
      </c>
    </row>
    <row r="16" ht="116.25" customHeight="1">
      <c r="B16" s="230" t="n">
        <v>5</v>
      </c>
      <c r="C16" s="11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89" t="inlineStr">
        <is>
          <t>Муфта концевая до 1 кВ сечением до 120 мм2</t>
        </is>
      </c>
    </row>
    <row r="17" ht="79.5" customHeight="1">
      <c r="B17" s="230" t="n">
        <v>6</v>
      </c>
      <c r="C17" s="11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93">
        <f>D19+D18+D20+D21</f>
        <v/>
      </c>
      <c r="E17" s="166" t="n"/>
    </row>
    <row r="18">
      <c r="B18" s="151" t="inlineStr">
        <is>
          <t>6.1</t>
        </is>
      </c>
      <c r="C18" s="147" t="inlineStr">
        <is>
          <t>строительно-монтажные работы</t>
        </is>
      </c>
      <c r="D18" s="193">
        <f>'Прил.2 Расч стоим'!G12</f>
        <v/>
      </c>
    </row>
    <row r="19" ht="15.75" customHeight="1">
      <c r="B19" s="151" t="inlineStr">
        <is>
          <t>6.2</t>
        </is>
      </c>
      <c r="C19" s="147" t="inlineStr">
        <is>
          <t>оборудование и инвентарь</t>
        </is>
      </c>
      <c r="D19" s="230" t="n">
        <v>0</v>
      </c>
    </row>
    <row r="20" ht="16.5" customHeight="1">
      <c r="B20" s="151" t="inlineStr">
        <is>
          <t>6.3</t>
        </is>
      </c>
      <c r="C20" s="147" t="inlineStr">
        <is>
          <t>пусконаладочные работы</t>
        </is>
      </c>
      <c r="D20" s="230" t="n">
        <v>0</v>
      </c>
    </row>
    <row r="21" ht="35.25" customHeight="1">
      <c r="B21" s="151" t="inlineStr">
        <is>
          <t>6.4</t>
        </is>
      </c>
      <c r="C21" s="150" t="inlineStr">
        <is>
          <t>прочие и лимитированные затраты</t>
        </is>
      </c>
      <c r="D21" s="193">
        <f>D18*2.5%+(D18*2.5%+D18)*2.1%</f>
        <v/>
      </c>
    </row>
    <row r="22">
      <c r="B22" s="230" t="n">
        <v>7</v>
      </c>
      <c r="C22" s="150" t="inlineStr">
        <is>
          <t>Сопоставимый уровень цен</t>
        </is>
      </c>
      <c r="D22" s="230" t="inlineStr">
        <is>
          <t>1 кв. 2018 г.</t>
        </is>
      </c>
      <c r="E22" s="148" t="n"/>
    </row>
    <row r="23" ht="123" customHeight="1">
      <c r="B23" s="230" t="n">
        <v>8</v>
      </c>
      <c r="C23" s="149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93">
        <f>D17</f>
        <v/>
      </c>
      <c r="E23" s="166" t="n"/>
    </row>
    <row r="24" ht="60.75" customHeight="1">
      <c r="B24" s="230" t="n">
        <v>9</v>
      </c>
      <c r="C24" s="116" t="inlineStr">
        <is>
          <t>Приведенная сметная стоимость на единицу мощности, тыс. руб. (строка 8/строку 4)</t>
        </is>
      </c>
      <c r="D24" s="193">
        <f>D23/D15</f>
        <v/>
      </c>
      <c r="E24" s="148" t="n"/>
    </row>
    <row r="25" ht="48" customHeight="1">
      <c r="B25" s="230" t="n">
        <v>10</v>
      </c>
      <c r="C25" s="147" t="inlineStr">
        <is>
          <t>Примечание</t>
        </is>
      </c>
      <c r="D25" s="230" t="n"/>
    </row>
    <row r="26">
      <c r="B26" s="146" t="n"/>
      <c r="C26" s="145" t="n"/>
      <c r="D26" s="145" t="n"/>
    </row>
    <row r="27" ht="37.5" customHeight="1">
      <c r="B27" s="144" t="n"/>
    </row>
    <row r="28">
      <c r="B28" s="143" t="inlineStr">
        <is>
          <t>Составил ______________________    А.Р. Маркова</t>
        </is>
      </c>
    </row>
    <row r="29">
      <c r="B29" s="144" t="inlineStr">
        <is>
          <t xml:space="preserve">                         (подпись, инициалы, фамилия)</t>
        </is>
      </c>
    </row>
    <row r="31">
      <c r="B31" s="143" t="inlineStr">
        <is>
          <t>Проверил ______________________        А.В. Костянецкая</t>
        </is>
      </c>
    </row>
    <row r="32">
      <c r="B32" s="144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086614173228351" right="0.7086614173228351" top="0.748031496062992" bottom="0.748031496062992" header="0.31496062992126" footer="0.31496062992126"/>
  <pageSetup orientation="portrait" paperSize="9" scale="70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B3:K22"/>
  <sheetViews>
    <sheetView view="pageBreakPreview" zoomScale="70" zoomScaleNormal="70" workbookViewId="0">
      <selection activeCell="F19" sqref="F19"/>
    </sheetView>
  </sheetViews>
  <sheetFormatPr baseColWidth="8" defaultColWidth="9.140625" defaultRowHeight="15.75"/>
  <cols>
    <col width="5.5703125" customWidth="1" style="143" min="1" max="1"/>
    <col width="9.140625" customWidth="1" style="143" min="2" max="2"/>
    <col width="35.28515625" customWidth="1" style="143" min="3" max="3"/>
    <col width="13.85546875" customWidth="1" style="143" min="4" max="4"/>
    <col width="24.85546875" customWidth="1" style="143" min="5" max="5"/>
    <col width="15.5703125" customWidth="1" style="143" min="6" max="6"/>
    <col width="14.85546875" customWidth="1" style="143" min="7" max="7"/>
    <col width="16.7109375" customWidth="1" style="143" min="8" max="8"/>
    <col width="13" customWidth="1" style="143" min="9" max="10"/>
    <col width="18" customWidth="1" style="143" min="11" max="11"/>
    <col width="9.140625" customWidth="1" style="143" min="12" max="12"/>
  </cols>
  <sheetData>
    <row r="3">
      <c r="B3" s="225" t="inlineStr">
        <is>
          <t>Приложение № 2</t>
        </is>
      </c>
      <c r="K3" s="144" t="n"/>
    </row>
    <row r="4">
      <c r="B4" s="226" t="inlineStr">
        <is>
          <t>Расчет стоимости основных видов работ для выбора объекта-представителя</t>
        </is>
      </c>
    </row>
    <row r="5">
      <c r="B5" s="153" t="n"/>
      <c r="C5" s="153" t="n"/>
      <c r="D5" s="153" t="n"/>
      <c r="E5" s="153" t="n"/>
      <c r="F5" s="153" t="n"/>
      <c r="G5" s="153" t="n"/>
      <c r="H5" s="153" t="n"/>
      <c r="I5" s="153" t="n"/>
      <c r="J5" s="153" t="n"/>
      <c r="K5" s="153" t="n"/>
    </row>
    <row r="6" ht="29.25" customHeight="1">
      <c r="B6" s="227">
        <f>'Прил.1 Сравнит табл'!B7:D7</f>
        <v/>
      </c>
    </row>
    <row r="7">
      <c r="B7" s="227">
        <f>'Прил.1 Сравнит табл'!B9:D9</f>
        <v/>
      </c>
    </row>
    <row r="8" ht="18.75" customHeight="1">
      <c r="B8" s="118" t="n"/>
    </row>
    <row r="9" ht="15.75" customHeight="1">
      <c r="B9" s="230" t="inlineStr">
        <is>
          <t>№ п/п</t>
        </is>
      </c>
      <c r="C9" s="230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30" t="inlineStr">
        <is>
          <t>Объект-представитель 1</t>
        </is>
      </c>
      <c r="E9" s="308" t="n"/>
      <c r="F9" s="308" t="n"/>
      <c r="G9" s="308" t="n"/>
      <c r="H9" s="308" t="n"/>
      <c r="I9" s="308" t="n"/>
      <c r="J9" s="309" t="n"/>
    </row>
    <row r="10" ht="15.75" customHeight="1">
      <c r="B10" s="310" t="n"/>
      <c r="C10" s="310" t="n"/>
      <c r="D10" s="230" t="inlineStr">
        <is>
          <t>Номер сметы</t>
        </is>
      </c>
      <c r="E10" s="230" t="inlineStr">
        <is>
          <t>Наименование сметы</t>
        </is>
      </c>
      <c r="F10" s="230" t="inlineStr">
        <is>
          <t>Сметная стоимость в уровне цен 1 кв. 2018г., тыс. руб.</t>
        </is>
      </c>
      <c r="G10" s="308" t="n"/>
      <c r="H10" s="308" t="n"/>
      <c r="I10" s="308" t="n"/>
      <c r="J10" s="309" t="n"/>
    </row>
    <row r="11" ht="31.5" customHeight="1">
      <c r="B11" s="311" t="n"/>
      <c r="C11" s="311" t="n"/>
      <c r="D11" s="311" t="n"/>
      <c r="E11" s="311" t="n"/>
      <c r="F11" s="230" t="inlineStr">
        <is>
          <t>Строительные работы</t>
        </is>
      </c>
      <c r="G11" s="230" t="inlineStr">
        <is>
          <t>Монтажные работы</t>
        </is>
      </c>
      <c r="H11" s="230" t="inlineStr">
        <is>
          <t>Оборудование</t>
        </is>
      </c>
      <c r="I11" s="230" t="inlineStr">
        <is>
          <t>Прочее</t>
        </is>
      </c>
      <c r="J11" s="230" t="inlineStr">
        <is>
          <t>Всего</t>
        </is>
      </c>
    </row>
    <row r="12" ht="37.5" customHeight="1">
      <c r="B12" s="194" t="n">
        <v>1</v>
      </c>
      <c r="C12" s="194" t="inlineStr">
        <is>
          <t>Муфта концевая до 1 кВ сечением до 120 мм2</t>
        </is>
      </c>
      <c r="D12" s="195" t="inlineStr">
        <is>
          <t>02-46-02</t>
        </is>
      </c>
      <c r="E12" s="194" t="inlineStr">
        <is>
          <t xml:space="preserve"> ЛЭП 0,4/0,23 кВ, ТП 831</t>
        </is>
      </c>
      <c r="F12" s="194" t="n">
        <v>0</v>
      </c>
      <c r="G12" s="196" t="n">
        <v>17.707263</v>
      </c>
      <c r="H12" s="194" t="n">
        <v>0</v>
      </c>
      <c r="I12" s="194" t="n">
        <v>0</v>
      </c>
      <c r="J12" s="196">
        <f>F12+G12+H12+I12</f>
        <v/>
      </c>
    </row>
    <row r="13" ht="15.75" customHeight="1">
      <c r="B13" s="229" t="inlineStr">
        <is>
          <t>Всего по объекту:</t>
        </is>
      </c>
      <c r="C13" s="308" t="n"/>
      <c r="D13" s="308" t="n"/>
      <c r="E13" s="309" t="n"/>
      <c r="F13" s="197">
        <f>F12</f>
        <v/>
      </c>
      <c r="G13" s="198">
        <f>G12</f>
        <v/>
      </c>
      <c r="H13" s="197">
        <f>H12</f>
        <v/>
      </c>
      <c r="I13" s="197">
        <f>I12</f>
        <v/>
      </c>
      <c r="J13" s="198">
        <f>J12</f>
        <v/>
      </c>
    </row>
    <row r="14" ht="15.75" customHeight="1">
      <c r="B14" s="229" t="inlineStr">
        <is>
          <t>Всего по объекту в сопоставимом уровне цен 1 кв. 2018г:</t>
        </is>
      </c>
      <c r="C14" s="308" t="n"/>
      <c r="D14" s="308" t="n"/>
      <c r="E14" s="309" t="n"/>
      <c r="F14" s="197">
        <f>F13</f>
        <v/>
      </c>
      <c r="G14" s="198">
        <f>G13</f>
        <v/>
      </c>
      <c r="H14" s="197">
        <f>H13</f>
        <v/>
      </c>
      <c r="I14" s="198">
        <f>'Прил.1 Сравнит табл'!D21</f>
        <v/>
      </c>
      <c r="J14" s="198">
        <f>F14+G14+H14+I14</f>
        <v/>
      </c>
    </row>
    <row r="15" ht="15" customHeight="1"/>
    <row r="16" ht="15" customHeight="1"/>
    <row r="17" ht="15" customHeight="1"/>
    <row r="18" ht="15" customHeight="1">
      <c r="C18" s="4" t="inlineStr">
        <is>
          <t>Составил ______________________     А.Р. Маркова</t>
        </is>
      </c>
      <c r="D18" s="12" t="n"/>
      <c r="E18" s="12" t="n"/>
    </row>
    <row r="19" ht="15" customHeight="1">
      <c r="C19" s="33" t="inlineStr">
        <is>
          <t xml:space="preserve">                         (подпись, инициалы, фамилия)</t>
        </is>
      </c>
      <c r="D19" s="12" t="n"/>
      <c r="E19" s="12" t="n"/>
    </row>
    <row r="20" ht="15" customHeight="1">
      <c r="C20" s="4" t="n"/>
      <c r="D20" s="12" t="n"/>
      <c r="E20" s="12" t="n"/>
    </row>
    <row r="21" ht="15" customHeight="1">
      <c r="C21" s="4" t="inlineStr">
        <is>
          <t>Проверил ______________________        А.В. Костянецкая</t>
        </is>
      </c>
      <c r="D21" s="12" t="n"/>
      <c r="E21" s="12" t="n"/>
    </row>
    <row r="22" ht="15" customHeight="1">
      <c r="C22" s="33" t="inlineStr">
        <is>
          <t xml:space="preserve">                        (подпись, инициалы, фамилия)</t>
        </is>
      </c>
      <c r="D22" s="12" t="n"/>
      <c r="E22" s="12" t="n"/>
    </row>
    <row r="23" ht="15" customHeight="1"/>
    <row r="24" ht="15" customHeight="1"/>
    <row r="25" ht="15" customHeight="1"/>
    <row r="26" ht="15" customHeight="1"/>
    <row r="27" ht="15" customHeight="1"/>
    <row r="28" ht="15" customHeight="1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086614173228351" right="0.7086614173228351" top="0.748031496062992" bottom="0.748031496062992" header="0.31496062992126" footer="0.31496062992126"/>
  <pageSetup orientation="portrait" paperSize="9" scale="54" fitToHeight="0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2:L28"/>
  <sheetViews>
    <sheetView view="pageBreakPreview" topLeftCell="E9" workbookViewId="0">
      <selection activeCell="E25" sqref="E25"/>
    </sheetView>
  </sheetViews>
  <sheetFormatPr baseColWidth="8" defaultColWidth="9.140625" defaultRowHeight="15.75"/>
  <cols>
    <col width="9.140625" customWidth="1" style="143" min="1" max="1"/>
    <col width="12.5703125" customWidth="1" style="143" min="2" max="2"/>
    <col width="22.42578125" customWidth="1" style="143" min="3" max="3"/>
    <col width="49.7109375" customWidth="1" style="143" min="4" max="4"/>
    <col width="10.140625" customWidth="1" style="143" min="5" max="5"/>
    <col width="20.7109375" customWidth="1" style="143" min="6" max="6"/>
    <col width="20" customWidth="1" style="143" min="7" max="7"/>
    <col width="16.7109375" customWidth="1" style="143" min="8" max="8"/>
    <col width="9.140625" customWidth="1" style="143" min="9" max="10"/>
    <col width="15" customWidth="1" style="143" min="11" max="11"/>
    <col width="9.140625" customWidth="1" style="143" min="12" max="12"/>
  </cols>
  <sheetData>
    <row r="2">
      <c r="A2" s="225" t="inlineStr">
        <is>
          <t xml:space="preserve">Приложение № 3 </t>
        </is>
      </c>
    </row>
    <row r="3">
      <c r="A3" s="226" t="inlineStr">
        <is>
          <t>Объектная ресурсная ведомость</t>
        </is>
      </c>
    </row>
    <row r="4" ht="18.75" customHeight="1">
      <c r="A4" s="176" t="n"/>
      <c r="B4" s="176" t="n"/>
      <c r="C4" s="232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27" t="n"/>
    </row>
    <row r="6">
      <c r="A6" s="231" t="inlineStr">
        <is>
          <t>Наименование разрабатываемого показателя УНЦ - Муфта концевая до 1 кВ сечением до 120мм2</t>
        </is>
      </c>
    </row>
    <row r="7">
      <c r="A7" s="231" t="n"/>
      <c r="B7" s="231" t="n"/>
      <c r="C7" s="231" t="n"/>
      <c r="D7" s="231" t="n"/>
      <c r="E7" s="231" t="n"/>
      <c r="F7" s="231" t="n"/>
      <c r="G7" s="231" t="n"/>
      <c r="H7" s="231" t="n"/>
    </row>
    <row r="8" ht="38.25" customHeight="1">
      <c r="A8" s="230" t="inlineStr">
        <is>
          <t>п/п</t>
        </is>
      </c>
      <c r="B8" s="230" t="inlineStr">
        <is>
          <t>№ЛСР</t>
        </is>
      </c>
      <c r="C8" s="230" t="inlineStr">
        <is>
          <t>Код ресурса</t>
        </is>
      </c>
      <c r="D8" s="230" t="inlineStr">
        <is>
          <t>Наименование ресурса</t>
        </is>
      </c>
      <c r="E8" s="230" t="inlineStr">
        <is>
          <t>Ед. изм.</t>
        </is>
      </c>
      <c r="F8" s="230" t="inlineStr">
        <is>
          <t>Кол-во единиц по данным объекта-представителя</t>
        </is>
      </c>
      <c r="G8" s="230" t="inlineStr">
        <is>
          <t>Сметная стоимость в ценах на 01.01.2000 (руб.)</t>
        </is>
      </c>
      <c r="H8" s="309" t="n"/>
    </row>
    <row r="9" ht="40.5" customHeight="1">
      <c r="A9" s="311" t="n"/>
      <c r="B9" s="311" t="n"/>
      <c r="C9" s="311" t="n"/>
      <c r="D9" s="311" t="n"/>
      <c r="E9" s="311" t="n"/>
      <c r="F9" s="311" t="n"/>
      <c r="G9" s="230" t="inlineStr">
        <is>
          <t>на ед.изм.</t>
        </is>
      </c>
      <c r="H9" s="230" t="inlineStr">
        <is>
          <t>общая</t>
        </is>
      </c>
    </row>
    <row r="10">
      <c r="A10" s="160" t="n">
        <v>1</v>
      </c>
      <c r="B10" s="160" t="n"/>
      <c r="C10" s="160" t="n">
        <v>2</v>
      </c>
      <c r="D10" s="160" t="inlineStr">
        <is>
          <t>З</t>
        </is>
      </c>
      <c r="E10" s="160" t="n">
        <v>4</v>
      </c>
      <c r="F10" s="160" t="n">
        <v>5</v>
      </c>
      <c r="G10" s="160" t="n">
        <v>6</v>
      </c>
      <c r="H10" s="160" t="n">
        <v>7</v>
      </c>
    </row>
    <row r="11" customFormat="1" s="156">
      <c r="A11" s="234" t="inlineStr">
        <is>
          <t>Затраты труда рабочих</t>
        </is>
      </c>
      <c r="B11" s="308" t="n"/>
      <c r="C11" s="308" t="n"/>
      <c r="D11" s="308" t="n"/>
      <c r="E11" s="309" t="n"/>
      <c r="F11" s="312">
        <f>SUM(F12:F12)</f>
        <v/>
      </c>
      <c r="G11" s="10" t="n"/>
      <c r="H11" s="312">
        <f>SUM(H12:H12)</f>
        <v/>
      </c>
    </row>
    <row r="12">
      <c r="A12" s="262" t="n">
        <v>1</v>
      </c>
      <c r="B12" s="159" t="n"/>
      <c r="C12" s="135" t="inlineStr">
        <is>
          <t>1-3-8</t>
        </is>
      </c>
      <c r="D12" s="170" t="inlineStr">
        <is>
          <t>Затраты труда рабочих (средний разряд работы 3,8)</t>
        </is>
      </c>
      <c r="E12" s="262" t="inlineStr">
        <is>
          <t>чел.-ч</t>
        </is>
      </c>
      <c r="F12" s="244" t="n">
        <v>10.8</v>
      </c>
      <c r="G12" s="313" t="n">
        <v>9.4</v>
      </c>
      <c r="H12" s="168">
        <f>ROUND(F12*G12,2)</f>
        <v/>
      </c>
    </row>
    <row r="13">
      <c r="A13" s="233" t="inlineStr">
        <is>
          <t>Затраты труда машинистов</t>
        </is>
      </c>
      <c r="B13" s="308" t="n"/>
      <c r="C13" s="308" t="n"/>
      <c r="D13" s="308" t="n"/>
      <c r="E13" s="309" t="n"/>
      <c r="F13" s="234" t="n"/>
      <c r="G13" s="157" t="n"/>
      <c r="H13" s="312">
        <f>H14</f>
        <v/>
      </c>
    </row>
    <row r="14">
      <c r="A14" s="262" t="n">
        <v>2</v>
      </c>
      <c r="B14" s="235" t="n"/>
      <c r="C14" s="171" t="n">
        <v>2</v>
      </c>
      <c r="D14" s="170" t="inlineStr">
        <is>
          <t>Затраты труда машинистов(справочно)</t>
        </is>
      </c>
      <c r="E14" s="262" t="inlineStr">
        <is>
          <t>чел.-ч</t>
        </is>
      </c>
      <c r="F14" s="262" t="n">
        <v>8.539999999999999</v>
      </c>
      <c r="G14" s="168" t="n"/>
      <c r="H14" s="313" t="n">
        <v>115.3</v>
      </c>
    </row>
    <row r="15" customFormat="1" s="156">
      <c r="A15" s="234" t="inlineStr">
        <is>
          <t>Машины и механизмы</t>
        </is>
      </c>
      <c r="B15" s="308" t="n"/>
      <c r="C15" s="308" t="n"/>
      <c r="D15" s="308" t="n"/>
      <c r="E15" s="309" t="n"/>
      <c r="F15" s="234" t="n"/>
      <c r="G15" s="157" t="n"/>
      <c r="H15" s="312">
        <f>SUM(H16:H16)</f>
        <v/>
      </c>
    </row>
    <row r="16">
      <c r="A16" s="262" t="n">
        <v>3</v>
      </c>
      <c r="B16" s="235" t="n"/>
      <c r="C16" s="171" t="inlineStr">
        <is>
          <t>91.06.09-001</t>
        </is>
      </c>
      <c r="D16" s="170" t="inlineStr">
        <is>
          <t>Вышки телескопические 25 м</t>
        </is>
      </c>
      <c r="E16" s="262" t="inlineStr">
        <is>
          <t>маш.час</t>
        </is>
      </c>
      <c r="F16" s="262" t="n">
        <v>8.539999999999999</v>
      </c>
      <c r="G16" s="178" t="n">
        <v>142.7</v>
      </c>
      <c r="H16" s="168">
        <f>ROUND(F16*G16,2)</f>
        <v/>
      </c>
      <c r="I16" s="174" t="n"/>
    </row>
    <row r="17">
      <c r="A17" s="234" t="inlineStr">
        <is>
          <t>Материалы</t>
        </is>
      </c>
      <c r="B17" s="308" t="n"/>
      <c r="C17" s="308" t="n"/>
      <c r="D17" s="308" t="n"/>
      <c r="E17" s="309" t="n"/>
      <c r="F17" s="234" t="n"/>
      <c r="G17" s="157" t="n"/>
      <c r="H17" s="312">
        <f>SUM(H18:H21)</f>
        <v/>
      </c>
    </row>
    <row r="18">
      <c r="A18" s="187" t="n">
        <v>4</v>
      </c>
      <c r="B18" s="187" t="n"/>
      <c r="C18" s="262" t="inlineStr">
        <is>
          <t>Прайс из СД ОП</t>
        </is>
      </c>
      <c r="D18" s="186" t="inlineStr">
        <is>
          <t>Муфта концевая до 1 кВ сечением до 120мм2</t>
        </is>
      </c>
      <c r="E18" s="262" t="inlineStr">
        <is>
          <t>шт</t>
        </is>
      </c>
      <c r="F18" s="262" t="n">
        <v>10</v>
      </c>
      <c r="G18" s="186" t="n">
        <v>55.45</v>
      </c>
      <c r="H18" s="168" t="n">
        <v>554.5</v>
      </c>
    </row>
    <row r="19">
      <c r="A19" s="172" t="n">
        <v>5</v>
      </c>
      <c r="B19" s="235" t="n"/>
      <c r="C19" s="171" t="inlineStr">
        <is>
          <t>01.3.01.01-0001</t>
        </is>
      </c>
      <c r="D19" s="170" t="inlineStr">
        <is>
          <t>Бензин авиационный Б-70</t>
        </is>
      </c>
      <c r="E19" s="262" t="inlineStr">
        <is>
          <t>т</t>
        </is>
      </c>
      <c r="F19" s="262" t="n">
        <v>0.0008</v>
      </c>
      <c r="G19" s="168" t="n">
        <v>4488.4</v>
      </c>
      <c r="H19" s="168" t="n">
        <v>3.59</v>
      </c>
      <c r="I19" s="165" t="n"/>
    </row>
    <row r="20">
      <c r="A20" s="172" t="n">
        <v>6</v>
      </c>
      <c r="B20" s="235" t="n"/>
      <c r="C20" s="171" t="inlineStr">
        <is>
          <t>01.7.06.07-0002</t>
        </is>
      </c>
      <c r="D20" s="170" t="inlineStr">
        <is>
          <t>Лента монтажная, тип ЛМ-5</t>
        </is>
      </c>
      <c r="E20" s="262" t="inlineStr">
        <is>
          <t>10 м</t>
        </is>
      </c>
      <c r="F20" s="262" t="n">
        <v>0.048</v>
      </c>
      <c r="G20" s="168" t="n">
        <v>6.9</v>
      </c>
      <c r="H20" s="168" t="n">
        <v>0.33</v>
      </c>
      <c r="I20" s="165" t="n"/>
    </row>
    <row r="21">
      <c r="A21" s="187" t="n">
        <v>7</v>
      </c>
      <c r="B21" s="235" t="n"/>
      <c r="C21" s="171" t="inlineStr">
        <is>
          <t>01.3.01.05-0009</t>
        </is>
      </c>
      <c r="D21" s="170" t="inlineStr">
        <is>
          <t>Парафин нефтяной твердый Т-1</t>
        </is>
      </c>
      <c r="E21" s="262" t="inlineStr">
        <is>
          <t>т</t>
        </is>
      </c>
      <c r="F21" s="262" t="n">
        <v>2e-05</v>
      </c>
      <c r="G21" s="168" t="n">
        <v>8105.71</v>
      </c>
      <c r="H21" s="168" t="n">
        <v>0.16</v>
      </c>
      <c r="I21" s="165" t="n"/>
    </row>
    <row r="24">
      <c r="B24" s="143" t="inlineStr">
        <is>
          <t>Составил ______________________     А.Р. Маркова</t>
        </is>
      </c>
    </row>
    <row r="25">
      <c r="B25" s="144" t="inlineStr">
        <is>
          <t xml:space="preserve">                         (подпись, инициалы, фамилия)</t>
        </is>
      </c>
    </row>
    <row r="27">
      <c r="B27" s="143" t="inlineStr">
        <is>
          <t>Проверил ______________________        А.В. Костянецкая</t>
        </is>
      </c>
    </row>
    <row r="28">
      <c r="B28" s="144" t="inlineStr">
        <is>
          <t xml:space="preserve">                        (подпись, инициалы, фамилия)</t>
        </is>
      </c>
    </row>
  </sheetData>
  <mergeCells count="15"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17:E17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L50"/>
  <sheetViews>
    <sheetView view="pageBreakPreview" topLeftCell="A36" workbookViewId="0">
      <selection activeCell="D43" sqref="D43"/>
    </sheetView>
  </sheetViews>
  <sheetFormatPr baseColWidth="8" defaultColWidth="9.140625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11.42578125" customWidth="1" min="6" max="6"/>
    <col width="14.42578125" customWidth="1" min="7" max="7"/>
    <col width="13.5703125" customWidth="1" min="12" max="12"/>
  </cols>
  <sheetData>
    <row r="1">
      <c r="B1" s="4" t="n"/>
      <c r="C1" s="4" t="n"/>
      <c r="D1" s="4" t="n"/>
      <c r="E1" s="4" t="n"/>
    </row>
    <row r="2">
      <c r="B2" s="4" t="n"/>
      <c r="C2" s="4" t="n"/>
      <c r="D2" s="4" t="n"/>
      <c r="E2" s="257" t="inlineStr">
        <is>
          <t>Приложение № 4</t>
        </is>
      </c>
    </row>
    <row r="3">
      <c r="B3" s="4" t="n"/>
      <c r="C3" s="4" t="n"/>
      <c r="D3" s="4" t="n"/>
      <c r="E3" s="4" t="n"/>
    </row>
    <row r="4">
      <c r="B4" s="4" t="n"/>
      <c r="C4" s="4" t="n"/>
      <c r="D4" s="4" t="n"/>
      <c r="E4" s="4" t="n"/>
    </row>
    <row r="5">
      <c r="B5" s="215" t="inlineStr">
        <is>
          <t>Ресурсная модель</t>
        </is>
      </c>
    </row>
    <row r="6">
      <c r="B6" s="164" t="n"/>
      <c r="C6" s="4" t="n"/>
      <c r="D6" s="4" t="n"/>
      <c r="E6" s="4" t="n"/>
    </row>
    <row r="7" ht="25.5" customHeight="1">
      <c r="B7" s="224" t="inlineStr">
        <is>
          <t>Наименование разрабатываемого показателя УНЦ — Муфта концевая до 1 кВ сечением до 120мм2</t>
        </is>
      </c>
    </row>
    <row r="8">
      <c r="B8" s="237" t="inlineStr">
        <is>
          <t>Единица измерения  — 1 ед</t>
        </is>
      </c>
    </row>
    <row r="9">
      <c r="B9" s="164" t="n"/>
      <c r="C9" s="4" t="n"/>
      <c r="D9" s="4" t="n"/>
      <c r="E9" s="4" t="n"/>
    </row>
    <row r="10" ht="51" customHeight="1">
      <c r="B10" s="244" t="inlineStr">
        <is>
          <t>Наименование</t>
        </is>
      </c>
      <c r="C10" s="244" t="inlineStr">
        <is>
          <t>Сметная стоимость в ценах на 01.01.2023
 (руб.)</t>
        </is>
      </c>
      <c r="D10" s="244" t="inlineStr">
        <is>
          <t>Удельный вес, 
(в СМР)</t>
        </is>
      </c>
      <c r="E10" s="244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162">
        <f>'Прил.5 Расчет СМР и ОБ'!J15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162">
        <f>'Прил.5 Расчет СМР и ОБ'!J21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162">
        <f>'Прил.5 Расчет СМР и ОБ'!J22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162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162">
        <f>'Прил.5 Расчет СМР и ОБ'!J17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162">
        <f>'Прил.5 Расчет СМР и ОБ'!J33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162">
        <f>'Прил.5 Расчет СМР и ОБ'!J37</f>
        <v/>
      </c>
      <c r="D17" s="27">
        <f>C17/$C$24</f>
        <v/>
      </c>
      <c r="E17" s="27">
        <f>C17/$C$40</f>
        <v/>
      </c>
    </row>
    <row r="18">
      <c r="B18" s="25" t="inlineStr">
        <is>
          <t>МАТЕРИАЛЫ, ВСЕГО:</t>
        </is>
      </c>
      <c r="C18" s="162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162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162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ОБ'!D41</f>
        <v/>
      </c>
      <c r="D21" s="27" t="n"/>
      <c r="E21" s="25" t="n"/>
    </row>
    <row r="22">
      <c r="B22" s="25" t="inlineStr">
        <is>
          <t>Накладные расходы, руб.</t>
        </is>
      </c>
      <c r="C22" s="162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ОБ'!D40</f>
        <v/>
      </c>
      <c r="D23" s="27" t="n"/>
      <c r="E23" s="25" t="n"/>
    </row>
    <row r="24">
      <c r="B24" s="25" t="inlineStr">
        <is>
          <t>ВСЕГО СМР с НР и СП</t>
        </is>
      </c>
      <c r="C24" s="162">
        <f>C19+C20+C22</f>
        <v/>
      </c>
      <c r="D24" s="27">
        <f>C24/$C$24</f>
        <v/>
      </c>
      <c r="E24" s="27">
        <f>C24/$C$40</f>
        <v/>
      </c>
    </row>
    <row r="25" ht="25.5" customHeight="1">
      <c r="B25" s="25" t="inlineStr">
        <is>
          <t>ВСЕГО стоимость оборудования, в том числе</t>
        </is>
      </c>
      <c r="C25" s="162">
        <f>'Прил.5 Расчет СМР и ОБ'!J28</f>
        <v/>
      </c>
      <c r="D25" s="27" t="n"/>
      <c r="E25" s="27">
        <f>C25/$C$40</f>
        <v/>
      </c>
    </row>
    <row r="26" ht="25.5" customHeight="1">
      <c r="B26" s="25" t="inlineStr">
        <is>
          <t>стоимость оборудования технологического</t>
        </is>
      </c>
      <c r="C26" s="162">
        <f>'Прил.5 Расчет СМР и ОБ'!J29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  <c r="F28" s="163" t="n"/>
    </row>
    <row r="29" ht="25.5" customHeight="1">
      <c r="B29" s="25" t="inlineStr">
        <is>
          <t>Временные здания и сооружения - 2,5%</t>
        </is>
      </c>
      <c r="C29" s="26">
        <f>ROUND(C24*2.5%,2)</f>
        <v/>
      </c>
      <c r="D29" s="25" t="n"/>
      <c r="E29" s="27">
        <f>C29/$C$40</f>
        <v/>
      </c>
    </row>
    <row r="30" ht="38.25" customHeight="1">
      <c r="B30" s="25" t="inlineStr">
        <is>
          <t>Дополнительные затраты при производстве строительно-монтажных работ в зимнее время - 2,1%</t>
        </is>
      </c>
      <c r="C30" s="26">
        <f>ROUND((C24+C29)*2.1%,2)</f>
        <v/>
      </c>
      <c r="D30" s="25" t="n"/>
      <c r="E30" s="27">
        <f>C30/$C$40</f>
        <v/>
      </c>
      <c r="F30" s="163" t="n"/>
    </row>
    <row r="31">
      <c r="B31" s="25" t="inlineStr">
        <is>
          <t>Пусконаладочные работы</t>
        </is>
      </c>
      <c r="C31" s="179" t="n">
        <v>0</v>
      </c>
      <c r="D31" s="25" t="n"/>
      <c r="E31" s="27">
        <f>C31/$C$40</f>
        <v/>
      </c>
    </row>
    <row r="32" ht="25.5" customHeight="1">
      <c r="B32" s="25" t="inlineStr">
        <is>
          <t>Затраты по перевозке работников к месту работы и обратно</t>
        </is>
      </c>
      <c r="C32" s="26">
        <f>ROUND(C27*0%,2)</f>
        <v/>
      </c>
      <c r="D32" s="25" t="n"/>
      <c r="E32" s="27">
        <f>C32/$C$40</f>
        <v/>
      </c>
    </row>
    <row r="33" ht="25.5" customHeight="1">
      <c r="B33" s="25" t="inlineStr">
        <is>
          <t>Затраты, связанные с осуществлением работ вахтовым методом</t>
        </is>
      </c>
      <c r="C33" s="26">
        <f>ROUND(C28*0%,2)</f>
        <v/>
      </c>
      <c r="D33" s="25" t="n"/>
      <c r="E33" s="27">
        <f>C33/$C$40</f>
        <v/>
      </c>
    </row>
    <row r="34" ht="51" customHeight="1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>
        <f>ROUND(C29*0%,2)</f>
        <v/>
      </c>
      <c r="D34" s="25" t="n"/>
      <c r="E34" s="27">
        <f>C34/$C$40</f>
        <v/>
      </c>
      <c r="H34" s="165" t="n"/>
    </row>
    <row r="35" ht="76.5" customHeight="1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>
        <f>ROUND(C30*0%,2)</f>
        <v/>
      </c>
      <c r="D35" s="25" t="n"/>
      <c r="E35" s="27">
        <f>C35/$C$40</f>
        <v/>
      </c>
    </row>
    <row r="36" ht="25.5" customHeight="1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27">
        <f>C36/$C$40</f>
        <v/>
      </c>
      <c r="L36" s="163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7">
        <f>C37/$C$40</f>
        <v/>
      </c>
      <c r="L37" s="163" t="n"/>
    </row>
    <row r="38" ht="38.25" customHeight="1">
      <c r="B38" s="25" t="inlineStr">
        <is>
          <t>ИТОГО (СМР+ОБОРУДОВАНИЕ+ПРОЧ. ЗАТР., УЧТЕННЫЕ ПОКАЗАТЕЛЕМ)</t>
        </is>
      </c>
      <c r="C38" s="162">
        <f>C27+C32+C33+C34+C35+C29+C31+C30+C36+C37</f>
        <v/>
      </c>
      <c r="D38" s="25" t="n"/>
      <c r="E38" s="27">
        <f>C38/$C$40</f>
        <v/>
      </c>
    </row>
    <row r="39" ht="13.5" customHeight="1">
      <c r="B39" s="25" t="inlineStr">
        <is>
          <t>Непредвиденные расходы</t>
        </is>
      </c>
      <c r="C39" s="162">
        <f>ROUND(C38*3%,2)</f>
        <v/>
      </c>
      <c r="D39" s="25" t="n"/>
      <c r="E39" s="27">
        <f>C39/$C$38</f>
        <v/>
      </c>
    </row>
    <row r="40">
      <c r="B40" s="25" t="inlineStr">
        <is>
          <t>ВСЕГО:</t>
        </is>
      </c>
      <c r="C40" s="162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162">
        <f>C40/'Прил.5 Расчет СМР и ОБ'!E44</f>
        <v/>
      </c>
      <c r="D41" s="25" t="n"/>
      <c r="E41" s="25" t="n"/>
    </row>
    <row r="42">
      <c r="B42" s="161" t="n"/>
      <c r="C42" s="4" t="n"/>
      <c r="D42" s="4" t="n"/>
      <c r="E42" s="4" t="n"/>
    </row>
    <row r="43">
      <c r="B43" s="161" t="inlineStr">
        <is>
          <t>Составил ____________________________ А.Р. Маркова</t>
        </is>
      </c>
      <c r="C43" s="4" t="n"/>
      <c r="D43" s="4" t="n"/>
      <c r="E43" s="4" t="n"/>
    </row>
    <row r="44">
      <c r="B44" s="161" t="inlineStr">
        <is>
          <t xml:space="preserve">(должность, подпись, инициалы, фамилия) </t>
        </is>
      </c>
      <c r="C44" s="4" t="n"/>
      <c r="D44" s="4" t="n"/>
      <c r="E44" s="4" t="n"/>
    </row>
    <row r="45">
      <c r="B45" s="161" t="n"/>
      <c r="C45" s="4" t="n"/>
      <c r="D45" s="4" t="n"/>
      <c r="E45" s="4" t="n"/>
    </row>
    <row r="46">
      <c r="B46" s="161" t="inlineStr">
        <is>
          <t>Проверил ____________________________ А.В. Костянецкая</t>
        </is>
      </c>
      <c r="C46" s="4" t="n"/>
      <c r="D46" s="4" t="n"/>
      <c r="E46" s="4" t="n"/>
    </row>
    <row r="47">
      <c r="B47" s="237" t="inlineStr">
        <is>
          <t>(должность, подпись, инициалы, фамилия)</t>
        </is>
      </c>
      <c r="D47" s="4" t="n"/>
      <c r="E47" s="4" t="n"/>
    </row>
    <row r="49">
      <c r="B49" s="4" t="n"/>
      <c r="C49" s="4" t="n"/>
      <c r="D49" s="4" t="n"/>
      <c r="E49" s="4" t="n"/>
    </row>
    <row r="50">
      <c r="B50" s="4" t="n"/>
      <c r="C50" s="4" t="n"/>
      <c r="D50" s="4" t="n"/>
      <c r="E50" s="4" t="n"/>
    </row>
  </sheetData>
  <mergeCells count="4">
    <mergeCell ref="B7:E7"/>
    <mergeCell ref="B47:C47"/>
    <mergeCell ref="B8:E8"/>
    <mergeCell ref="B5:E5"/>
  </mergeCells>
  <pageMargins left="0.7086614173228351" right="0.7086614173228351" top="0.748031496062992" bottom="0.748031496062992" header="0.31496062992126" footer="0.31496062992126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50"/>
  <sheetViews>
    <sheetView view="pageBreakPreview" topLeftCell="A37" workbookViewId="0">
      <selection activeCell="D47" sqref="D47"/>
    </sheetView>
  </sheetViews>
  <sheetFormatPr baseColWidth="8" defaultColWidth="9.140625" defaultRowHeight="15" outlineLevelRow="1"/>
  <cols>
    <col width="5.7109375" customWidth="1" style="12" min="1" max="1"/>
    <col width="22.5703125" customWidth="1" style="12" min="2" max="2"/>
    <col width="40.7109375" customWidth="1" style="12" min="3" max="3"/>
    <col width="10.7109375" customWidth="1" style="12" min="4" max="4"/>
    <col width="12.7109375" customWidth="1" style="12" min="5" max="5"/>
    <col width="15" customWidth="1" style="12" min="6" max="6"/>
    <col width="13.42578125" customWidth="1" style="12" min="7" max="7"/>
    <col width="12.7109375" customWidth="1" style="12" min="8" max="8"/>
    <col width="13.85546875" customWidth="1" style="12" min="9" max="9"/>
    <col width="17.5703125" customWidth="1" style="12" min="10" max="10"/>
    <col width="10.85546875" customWidth="1" style="12" min="11" max="11"/>
    <col width="9.140625" customWidth="1" style="12" min="12" max="12"/>
  </cols>
  <sheetData>
    <row r="1">
      <c r="M1" s="12" t="n"/>
      <c r="N1" s="12" t="n"/>
    </row>
    <row r="2" ht="15.75" customHeight="1">
      <c r="H2" s="252" t="inlineStr">
        <is>
          <t>Приложение №5</t>
        </is>
      </c>
      <c r="M2" s="12" t="n"/>
      <c r="N2" s="12" t="n"/>
    </row>
    <row r="3">
      <c r="M3" s="12" t="n"/>
      <c r="N3" s="12" t="n"/>
    </row>
    <row r="4" ht="12.75" customFormat="1" customHeight="1" s="4">
      <c r="A4" s="215" t="inlineStr">
        <is>
          <t>Расчет стоимости СМР и оборудования</t>
        </is>
      </c>
    </row>
    <row r="5" ht="12.75" customFormat="1" customHeight="1" s="4">
      <c r="A5" s="215" t="n"/>
      <c r="B5" s="215" t="n"/>
      <c r="C5" s="265" t="n"/>
      <c r="D5" s="215" t="n"/>
      <c r="E5" s="215" t="n"/>
      <c r="F5" s="215" t="n"/>
      <c r="G5" s="215" t="n"/>
      <c r="H5" s="215" t="n"/>
      <c r="I5" s="215" t="n"/>
      <c r="J5" s="215" t="n"/>
    </row>
    <row r="6" ht="12.75" customFormat="1" customHeight="1" s="4">
      <c r="A6" s="137" t="inlineStr">
        <is>
          <t>Наименование разрабатываемого показателя УНЦ</t>
        </is>
      </c>
      <c r="B6" s="136" t="n"/>
      <c r="C6" s="136" t="n"/>
      <c r="D6" s="256" t="inlineStr">
        <is>
          <t>Муфта концевая до 1 кВ сечением до 120 мм2</t>
        </is>
      </c>
    </row>
    <row r="7" ht="12.75" customFormat="1" customHeight="1" s="4">
      <c r="A7" s="218" t="inlineStr">
        <is>
          <t>Единица измерения  — 1 ед</t>
        </is>
      </c>
      <c r="I7" s="224" t="n"/>
      <c r="J7" s="224" t="n"/>
    </row>
    <row r="8" ht="13.5" customFormat="1" customHeight="1" s="4">
      <c r="A8" s="218" t="n"/>
    </row>
    <row r="9" ht="13.15" customFormat="1" customHeight="1" s="4"/>
    <row r="10" ht="27" customHeight="1">
      <c r="A10" s="244" t="inlineStr">
        <is>
          <t>№ пп.</t>
        </is>
      </c>
      <c r="B10" s="244" t="inlineStr">
        <is>
          <t>Код ресурса</t>
        </is>
      </c>
      <c r="C10" s="244" t="inlineStr">
        <is>
          <t>Наименование</t>
        </is>
      </c>
      <c r="D10" s="244" t="inlineStr">
        <is>
          <t>Ед. изм.</t>
        </is>
      </c>
      <c r="E10" s="244" t="inlineStr">
        <is>
          <t>Кол-во единиц по проектным данным</t>
        </is>
      </c>
      <c r="F10" s="244" t="inlineStr">
        <is>
          <t>Сметная стоимость в ценах на 01.01.2000 (руб.)</t>
        </is>
      </c>
      <c r="G10" s="309" t="n"/>
      <c r="H10" s="244" t="inlineStr">
        <is>
          <t>Удельный вес, %</t>
        </is>
      </c>
      <c r="I10" s="244" t="inlineStr">
        <is>
          <t>Сметная стоимость в ценах на 01.01.2023 (руб.)</t>
        </is>
      </c>
      <c r="J10" s="309" t="n"/>
      <c r="M10" s="12" t="n"/>
      <c r="N10" s="12" t="n"/>
    </row>
    <row r="11" ht="28.5" customHeight="1">
      <c r="A11" s="311" t="n"/>
      <c r="B11" s="311" t="n"/>
      <c r="C11" s="311" t="n"/>
      <c r="D11" s="311" t="n"/>
      <c r="E11" s="311" t="n"/>
      <c r="F11" s="244" t="inlineStr">
        <is>
          <t>на ед. изм.</t>
        </is>
      </c>
      <c r="G11" s="244" t="inlineStr">
        <is>
          <t>общая</t>
        </is>
      </c>
      <c r="H11" s="311" t="n"/>
      <c r="I11" s="244" t="inlineStr">
        <is>
          <t>на ед. изм.</t>
        </is>
      </c>
      <c r="J11" s="244" t="inlineStr">
        <is>
          <t>общая</t>
        </is>
      </c>
      <c r="M11" s="12" t="n"/>
      <c r="N11" s="12" t="n"/>
    </row>
    <row r="12">
      <c r="A12" s="244" t="n">
        <v>1</v>
      </c>
      <c r="B12" s="244" t="n">
        <v>2</v>
      </c>
      <c r="C12" s="244" t="n">
        <v>3</v>
      </c>
      <c r="D12" s="244" t="n">
        <v>4</v>
      </c>
      <c r="E12" s="244" t="n">
        <v>5</v>
      </c>
      <c r="F12" s="244" t="n">
        <v>6</v>
      </c>
      <c r="G12" s="244" t="n">
        <v>7</v>
      </c>
      <c r="H12" s="244" t="n">
        <v>8</v>
      </c>
      <c r="I12" s="239" t="n">
        <v>9</v>
      </c>
      <c r="J12" s="239" t="n">
        <v>10</v>
      </c>
      <c r="M12" s="12" t="n"/>
      <c r="N12" s="12" t="n"/>
    </row>
    <row r="13">
      <c r="A13" s="244" t="n"/>
      <c r="B13" s="233" t="inlineStr">
        <is>
          <t>Затраты труда рабочих-строителей</t>
        </is>
      </c>
      <c r="C13" s="308" t="n"/>
      <c r="D13" s="308" t="n"/>
      <c r="E13" s="308" t="n"/>
      <c r="F13" s="308" t="n"/>
      <c r="G13" s="308" t="n"/>
      <c r="H13" s="309" t="n"/>
      <c r="I13" s="125" t="n"/>
      <c r="J13" s="125" t="n"/>
    </row>
    <row r="14" ht="25.5" customHeight="1">
      <c r="A14" s="244" t="n">
        <v>1</v>
      </c>
      <c r="B14" s="135" t="inlineStr">
        <is>
          <t>1-3-8</t>
        </is>
      </c>
      <c r="C14" s="243" t="inlineStr">
        <is>
          <t>Затраты труда рабочих-строителей среднего разряда (3,8)</t>
        </is>
      </c>
      <c r="D14" s="244" t="inlineStr">
        <is>
          <t>чел.-ч.</t>
        </is>
      </c>
      <c r="E14" s="314" t="n">
        <v>10.8</v>
      </c>
      <c r="F14" s="32" t="n">
        <v>9.4</v>
      </c>
      <c r="G14" s="32">
        <f>'Прил. 3'!H11</f>
        <v/>
      </c>
      <c r="H14" s="128">
        <f>G14/G15</f>
        <v/>
      </c>
      <c r="I14" s="32">
        <f>'ФОТр.тек.'!E13</f>
        <v/>
      </c>
      <c r="J14" s="32">
        <f>ROUND(I14*E14,2)</f>
        <v/>
      </c>
    </row>
    <row r="15" ht="25.5" customFormat="1" customHeight="1" s="12">
      <c r="A15" s="244" t="n"/>
      <c r="B15" s="244" t="n"/>
      <c r="C15" s="233" t="inlineStr">
        <is>
          <t>Итого по разделу "Затраты труда рабочих-строителей"</t>
        </is>
      </c>
      <c r="D15" s="244" t="inlineStr">
        <is>
          <t>чел.-ч.</t>
        </is>
      </c>
      <c r="E15" s="315">
        <f>SUM(E14:E14)</f>
        <v/>
      </c>
      <c r="F15" s="32" t="n"/>
      <c r="G15" s="32">
        <f>SUM(G14:G14)</f>
        <v/>
      </c>
      <c r="H15" s="247" t="n">
        <v>1</v>
      </c>
      <c r="I15" s="125" t="n"/>
      <c r="J15" s="32">
        <f>SUM(J14:J14)</f>
        <v/>
      </c>
    </row>
    <row r="16" ht="14.25" customFormat="1" customHeight="1" s="12">
      <c r="A16" s="244" t="n"/>
      <c r="B16" s="243" t="inlineStr">
        <is>
          <t>Затраты труда машинистов</t>
        </is>
      </c>
      <c r="C16" s="308" t="n"/>
      <c r="D16" s="308" t="n"/>
      <c r="E16" s="308" t="n"/>
      <c r="F16" s="308" t="n"/>
      <c r="G16" s="308" t="n"/>
      <c r="H16" s="309" t="n"/>
      <c r="I16" s="125" t="n"/>
      <c r="J16" s="125" t="n"/>
    </row>
    <row r="17" ht="14.25" customFormat="1" customHeight="1" s="12">
      <c r="A17" s="244" t="n">
        <v>2</v>
      </c>
      <c r="B17" s="244" t="n">
        <v>2</v>
      </c>
      <c r="C17" s="243" t="inlineStr">
        <is>
          <t>Затраты труда машинистов</t>
        </is>
      </c>
      <c r="D17" s="244" t="inlineStr">
        <is>
          <t>чел.-ч.</t>
        </is>
      </c>
      <c r="E17" s="316" t="n">
        <v>8.539999999999999</v>
      </c>
      <c r="F17" s="32">
        <f>G17/E17</f>
        <v/>
      </c>
      <c r="G17" s="32">
        <f>'Прил. 3'!H13</f>
        <v/>
      </c>
      <c r="H17" s="247" t="n">
        <v>1</v>
      </c>
      <c r="I17" s="32">
        <f>ROUND(F17*'Прил. 10'!D11,2)</f>
        <v/>
      </c>
      <c r="J17" s="32">
        <f>ROUND(I17*E17,2)</f>
        <v/>
      </c>
    </row>
    <row r="18" ht="14.25" customFormat="1" customHeight="1" s="12">
      <c r="A18" s="244" t="n"/>
      <c r="B18" s="233" t="inlineStr">
        <is>
          <t>Машины и механизмы</t>
        </is>
      </c>
      <c r="C18" s="308" t="n"/>
      <c r="D18" s="308" t="n"/>
      <c r="E18" s="308" t="n"/>
      <c r="F18" s="308" t="n"/>
      <c r="G18" s="308" t="n"/>
      <c r="H18" s="309" t="n"/>
      <c r="I18" s="125" t="n"/>
      <c r="J18" s="125" t="n"/>
    </row>
    <row r="19" ht="14.25" customFormat="1" customHeight="1" s="12">
      <c r="A19" s="244" t="n"/>
      <c r="B19" s="243" t="inlineStr">
        <is>
          <t>Основные машины и механизмы</t>
        </is>
      </c>
      <c r="C19" s="308" t="n"/>
      <c r="D19" s="308" t="n"/>
      <c r="E19" s="308" t="n"/>
      <c r="F19" s="308" t="n"/>
      <c r="G19" s="308" t="n"/>
      <c r="H19" s="309" t="n"/>
      <c r="I19" s="125" t="n"/>
      <c r="J19" s="125" t="n"/>
    </row>
    <row r="20" ht="14.25" customFormat="1" customHeight="1" s="12">
      <c r="A20" s="244" t="n">
        <v>3</v>
      </c>
      <c r="B20" s="171" t="inlineStr">
        <is>
          <t>91.06.09-001</t>
        </is>
      </c>
      <c r="C20" s="170" t="inlineStr">
        <is>
          <t>Вышки телескопические 25 м</t>
        </is>
      </c>
      <c r="D20" s="262" t="inlineStr">
        <is>
          <t>маш.час</t>
        </is>
      </c>
      <c r="E20" s="316" t="n">
        <v>8.539999999999999</v>
      </c>
      <c r="F20" s="178" t="n">
        <v>142.7</v>
      </c>
      <c r="G20" s="32">
        <f>ROUND(E20*F20,2)</f>
        <v/>
      </c>
      <c r="H20" s="128">
        <f>G20/$G$23</f>
        <v/>
      </c>
      <c r="I20" s="32">
        <f>ROUND(F20*'Прил. 10'!$D$12,2)</f>
        <v/>
      </c>
      <c r="J20" s="32">
        <f>ROUND(I20*E20,2)</f>
        <v/>
      </c>
    </row>
    <row r="21" ht="14.25" customFormat="1" customHeight="1" s="12">
      <c r="A21" s="244" t="n"/>
      <c r="B21" s="244" t="n"/>
      <c r="C21" s="243" t="inlineStr">
        <is>
          <t>Итого основные машины и механизмы</t>
        </is>
      </c>
      <c r="D21" s="244" t="n"/>
      <c r="E21" s="315" t="n"/>
      <c r="F21" s="32" t="n"/>
      <c r="G21" s="32">
        <f>SUM(G20:G20)</f>
        <v/>
      </c>
      <c r="H21" s="247">
        <f>G21/G23</f>
        <v/>
      </c>
      <c r="I21" s="127" t="n"/>
      <c r="J21" s="32">
        <f>SUM(J20:J20)</f>
        <v/>
      </c>
    </row>
    <row r="22" ht="14.25" customFormat="1" customHeight="1" s="12">
      <c r="A22" s="244" t="n"/>
      <c r="B22" s="244" t="n"/>
      <c r="C22" s="243" t="inlineStr">
        <is>
          <t>Итого прочие машины и механизмы</t>
        </is>
      </c>
      <c r="D22" s="244" t="n"/>
      <c r="E22" s="245" t="n"/>
      <c r="F22" s="32" t="n"/>
      <c r="G22" s="127" t="n">
        <v>0</v>
      </c>
      <c r="H22" s="128">
        <f>G22/G23</f>
        <v/>
      </c>
      <c r="I22" s="32" t="n"/>
      <c r="J22" s="32" t="n">
        <v>0</v>
      </c>
    </row>
    <row r="23" ht="25.5" customFormat="1" customHeight="1" s="12">
      <c r="A23" s="244" t="n"/>
      <c r="B23" s="244" t="n"/>
      <c r="C23" s="233" t="inlineStr">
        <is>
          <t>Итого по разделу «Машины и механизмы»</t>
        </is>
      </c>
      <c r="D23" s="244" t="n"/>
      <c r="E23" s="245" t="n"/>
      <c r="F23" s="32" t="n"/>
      <c r="G23" s="32">
        <f>G22+G21</f>
        <v/>
      </c>
      <c r="H23" s="129" t="n">
        <v>1</v>
      </c>
      <c r="I23" s="130" t="n"/>
      <c r="J23" s="131">
        <f>J22+J21</f>
        <v/>
      </c>
    </row>
    <row r="24" ht="14.25" customFormat="1" customHeight="1" s="12">
      <c r="A24" s="244" t="n"/>
      <c r="B24" s="233" t="inlineStr">
        <is>
          <t>Оборудование</t>
        </is>
      </c>
      <c r="C24" s="308" t="n"/>
      <c r="D24" s="308" t="n"/>
      <c r="E24" s="308" t="n"/>
      <c r="F24" s="308" t="n"/>
      <c r="G24" s="308" t="n"/>
      <c r="H24" s="309" t="n"/>
      <c r="I24" s="125" t="n"/>
      <c r="J24" s="125" t="n"/>
    </row>
    <row r="25">
      <c r="A25" s="244" t="n"/>
      <c r="B25" s="243" t="inlineStr">
        <is>
          <t>Основное оборудование</t>
        </is>
      </c>
      <c r="C25" s="308" t="n"/>
      <c r="D25" s="308" t="n"/>
      <c r="E25" s="308" t="n"/>
      <c r="F25" s="308" t="n"/>
      <c r="G25" s="308" t="n"/>
      <c r="H25" s="309" t="n"/>
      <c r="I25" s="125" t="n"/>
      <c r="J25" s="125" t="n"/>
    </row>
    <row r="26">
      <c r="A26" s="244" t="n"/>
      <c r="B26" s="244" t="n"/>
      <c r="C26" s="243" t="inlineStr">
        <is>
          <t>Итого основное оборудование</t>
        </is>
      </c>
      <c r="D26" s="244" t="n"/>
      <c r="E26" s="314" t="n"/>
      <c r="F26" s="246" t="n"/>
      <c r="G26" s="32" t="n">
        <v>0</v>
      </c>
      <c r="H26" s="128" t="n">
        <v>0</v>
      </c>
      <c r="I26" s="127" t="n"/>
      <c r="J26" s="32" t="n">
        <v>0</v>
      </c>
    </row>
    <row r="27">
      <c r="A27" s="244" t="n"/>
      <c r="B27" s="244" t="n"/>
      <c r="C27" s="243" t="inlineStr">
        <is>
          <t>Итого прочее оборудование</t>
        </is>
      </c>
      <c r="D27" s="244" t="n"/>
      <c r="E27" s="315" t="n"/>
      <c r="F27" s="246" t="n"/>
      <c r="G27" s="32" t="n">
        <v>0</v>
      </c>
      <c r="H27" s="128" t="n">
        <v>0</v>
      </c>
      <c r="I27" s="127" t="n"/>
      <c r="J27" s="32" t="n">
        <v>0</v>
      </c>
    </row>
    <row r="28">
      <c r="A28" s="244" t="n"/>
      <c r="B28" s="244" t="n"/>
      <c r="C28" s="233" t="inlineStr">
        <is>
          <t>Итого по разделу «Оборудование»</t>
        </is>
      </c>
      <c r="D28" s="244" t="n"/>
      <c r="E28" s="245" t="n"/>
      <c r="F28" s="246" t="n"/>
      <c r="G28" s="32">
        <f>G26+G27</f>
        <v/>
      </c>
      <c r="H28" s="128" t="n">
        <v>0</v>
      </c>
      <c r="I28" s="127" t="n"/>
      <c r="J28" s="32" t="n">
        <v>0</v>
      </c>
    </row>
    <row r="29">
      <c r="A29" s="244" t="n"/>
      <c r="B29" s="244" t="n"/>
      <c r="C29" s="243" t="inlineStr">
        <is>
          <t>в том числе технологическое оборудование</t>
        </is>
      </c>
      <c r="D29" s="244" t="n"/>
      <c r="E29" s="314" t="n"/>
      <c r="F29" s="246" t="n"/>
      <c r="G29" s="32">
        <f>'Прил.6 Расчет ОБ'!G12</f>
        <v/>
      </c>
      <c r="H29" s="247" t="n"/>
      <c r="I29" s="127" t="n"/>
      <c r="J29" s="32">
        <f>J28</f>
        <v/>
      </c>
    </row>
    <row r="30" ht="14.25" customFormat="1" customHeight="1" s="12">
      <c r="A30" s="244" t="n"/>
      <c r="B30" s="233" t="inlineStr">
        <is>
          <t>Материалы</t>
        </is>
      </c>
      <c r="C30" s="308" t="n"/>
      <c r="D30" s="308" t="n"/>
      <c r="E30" s="308" t="n"/>
      <c r="F30" s="308" t="n"/>
      <c r="G30" s="308" t="n"/>
      <c r="H30" s="309" t="n"/>
      <c r="I30" s="125" t="n"/>
      <c r="J30" s="125" t="n"/>
    </row>
    <row r="31" ht="14.25" customFormat="1" customHeight="1" s="12">
      <c r="A31" s="239" t="n"/>
      <c r="B31" s="238" t="inlineStr">
        <is>
          <t>Основные материалы</t>
        </is>
      </c>
      <c r="C31" s="317" t="n"/>
      <c r="D31" s="317" t="n"/>
      <c r="E31" s="317" t="n"/>
      <c r="F31" s="317" t="n"/>
      <c r="G31" s="317" t="n"/>
      <c r="H31" s="318" t="n"/>
      <c r="I31" s="138" t="n"/>
      <c r="J31" s="138" t="n"/>
    </row>
    <row r="32" ht="25.5" customFormat="1" customHeight="1" s="12">
      <c r="A32" s="244" t="n">
        <v>4</v>
      </c>
      <c r="B32" s="188" t="inlineStr">
        <is>
          <t>БЦ.91.18</t>
        </is>
      </c>
      <c r="C32" s="243" t="inlineStr">
        <is>
          <t>Муфта концевая до 1 кВ сечением до 120мм2</t>
        </is>
      </c>
      <c r="D32" s="244" t="inlineStr">
        <is>
          <t>шт</t>
        </is>
      </c>
      <c r="E32" s="314" t="n">
        <v>10</v>
      </c>
      <c r="F32" s="246">
        <f>ROUND(I32/'Прил. 10'!$D$13,2)</f>
        <v/>
      </c>
      <c r="G32" s="32">
        <f>ROUND(E32*F32,2)</f>
        <v/>
      </c>
      <c r="H32" s="128">
        <f>G32/$G$38</f>
        <v/>
      </c>
      <c r="I32" s="246" t="n">
        <v>310.37</v>
      </c>
      <c r="J32" s="32">
        <f>ROUND(I32*E32,2)</f>
        <v/>
      </c>
    </row>
    <row r="33" ht="14.25" customFormat="1" customHeight="1" s="12">
      <c r="A33" s="185" t="n"/>
      <c r="B33" s="139" t="n"/>
      <c r="C33" s="140" t="inlineStr">
        <is>
          <t>Итого основные материалы</t>
        </is>
      </c>
      <c r="D33" s="255" t="n"/>
      <c r="E33" s="319" t="n"/>
      <c r="F33" s="131" t="n"/>
      <c r="G33" s="131">
        <f>SUM(G32:G32)</f>
        <v/>
      </c>
      <c r="H33" s="128">
        <f>G33/$G$38</f>
        <v/>
      </c>
      <c r="I33" s="32" t="n"/>
      <c r="J33" s="131">
        <f>J32</f>
        <v/>
      </c>
    </row>
    <row r="34" outlineLevel="1" ht="14.25" customFormat="1" customHeight="1" s="12">
      <c r="A34" s="244" t="n">
        <v>5</v>
      </c>
      <c r="B34" s="180" t="inlineStr">
        <is>
          <t>01.3.01.01-0001</t>
        </is>
      </c>
      <c r="C34" s="181" t="inlineStr">
        <is>
          <t>Бензин авиационный Б-70</t>
        </is>
      </c>
      <c r="D34" s="182" t="inlineStr">
        <is>
          <t>т</t>
        </is>
      </c>
      <c r="E34" s="316" t="n">
        <v>0.0008</v>
      </c>
      <c r="F34" s="183" t="n">
        <v>4488.4</v>
      </c>
      <c r="G34" s="32">
        <f>ROUND(E34*F34,2)</f>
        <v/>
      </c>
      <c r="H34" s="128">
        <f>G34/$G$38</f>
        <v/>
      </c>
      <c r="I34" s="32">
        <f>ROUND(F34*'Прил. 10'!$D$13,2)</f>
        <v/>
      </c>
      <c r="J34" s="32">
        <f>ROUND(I34*E34,2)</f>
        <v/>
      </c>
    </row>
    <row r="35" outlineLevel="1" ht="14.25" customFormat="1" customHeight="1" s="12">
      <c r="A35" s="244" t="n">
        <v>6</v>
      </c>
      <c r="B35" s="171" t="inlineStr">
        <is>
          <t>01.7.06.07-0002</t>
        </is>
      </c>
      <c r="C35" s="170" t="inlineStr">
        <is>
          <t>Лента монтажная, тип ЛМ-5</t>
        </is>
      </c>
      <c r="D35" s="262" t="inlineStr">
        <is>
          <t>10 м</t>
        </is>
      </c>
      <c r="E35" s="316" t="n">
        <v>0.048</v>
      </c>
      <c r="F35" s="168" t="n">
        <v>6.9</v>
      </c>
      <c r="G35" s="32">
        <f>ROUND(E35*F35,2)</f>
        <v/>
      </c>
      <c r="H35" s="128">
        <f>G35/$G$38</f>
        <v/>
      </c>
      <c r="I35" s="32">
        <f>ROUND(F35*'Прил. 10'!$D$13,2)</f>
        <v/>
      </c>
      <c r="J35" s="32">
        <f>ROUND(I35*E35,2)</f>
        <v/>
      </c>
    </row>
    <row r="36" outlineLevel="1" ht="14.25" customFormat="1" customHeight="1" s="12">
      <c r="A36" s="244" t="n">
        <v>7</v>
      </c>
      <c r="B36" s="171" t="inlineStr">
        <is>
          <t>01.3.01.05-0009</t>
        </is>
      </c>
      <c r="C36" s="170" t="inlineStr">
        <is>
          <t>Парафин нефтяной твердый Т-1</t>
        </is>
      </c>
      <c r="D36" s="262" t="inlineStr">
        <is>
          <t>т</t>
        </is>
      </c>
      <c r="E36" s="316" t="n">
        <v>2e-05</v>
      </c>
      <c r="F36" s="168" t="n">
        <v>8105.71</v>
      </c>
      <c r="G36" s="32">
        <f>ROUND(E36*F36,2)</f>
        <v/>
      </c>
      <c r="H36" s="128">
        <f>G36/$G$38</f>
        <v/>
      </c>
      <c r="I36" s="32">
        <f>ROUND(F36*'Прил. 10'!$D$13,2)</f>
        <v/>
      </c>
      <c r="J36" s="32">
        <f>ROUND(I36*E36,2)</f>
        <v/>
      </c>
    </row>
    <row r="37" ht="14.25" customFormat="1" customHeight="1" s="12">
      <c r="A37" s="244" t="n"/>
      <c r="B37" s="244" t="n"/>
      <c r="C37" s="243" t="inlineStr">
        <is>
          <t>Итого прочие материалы</t>
        </is>
      </c>
      <c r="D37" s="244" t="n"/>
      <c r="E37" s="314" t="n"/>
      <c r="F37" s="246" t="n"/>
      <c r="G37" s="32">
        <f>SUM(G34:G36)</f>
        <v/>
      </c>
      <c r="H37" s="128">
        <f>G37/$G$38</f>
        <v/>
      </c>
      <c r="I37" s="32" t="n"/>
      <c r="J37" s="32">
        <f>SUM(J34:J36)</f>
        <v/>
      </c>
    </row>
    <row r="38" ht="14.25" customFormat="1" customHeight="1" s="12">
      <c r="A38" s="244" t="n"/>
      <c r="B38" s="244" t="n"/>
      <c r="C38" s="233" t="inlineStr">
        <is>
          <t>Итого по разделу «Материалы»</t>
        </is>
      </c>
      <c r="D38" s="244" t="n"/>
      <c r="E38" s="245" t="n"/>
      <c r="F38" s="246" t="n"/>
      <c r="G38" s="32">
        <f>G33+G37</f>
        <v/>
      </c>
      <c r="H38" s="247">
        <f>G38/$G$38</f>
        <v/>
      </c>
      <c r="I38" s="32" t="n"/>
      <c r="J38" s="32">
        <f>J33+J37</f>
        <v/>
      </c>
    </row>
    <row r="39" ht="14.25" customFormat="1" customHeight="1" s="12">
      <c r="A39" s="244" t="n"/>
      <c r="B39" s="244" t="n"/>
      <c r="C39" s="243" t="inlineStr">
        <is>
          <t>ИТОГО ПО РМ</t>
        </is>
      </c>
      <c r="D39" s="244" t="n"/>
      <c r="E39" s="245" t="n"/>
      <c r="F39" s="246" t="n"/>
      <c r="G39" s="32">
        <f>G15+G23+G38</f>
        <v/>
      </c>
      <c r="H39" s="247" t="n"/>
      <c r="I39" s="32" t="n"/>
      <c r="J39" s="32">
        <f>J15+J23+J38</f>
        <v/>
      </c>
    </row>
    <row r="40" ht="14.25" customFormat="1" customHeight="1" s="12">
      <c r="A40" s="244" t="n"/>
      <c r="B40" s="244" t="n"/>
      <c r="C40" s="243" t="inlineStr">
        <is>
          <t>Накладные расходы</t>
        </is>
      </c>
      <c r="D40" s="133">
        <f>ROUND(G40/(G$17+$G$15),2)</f>
        <v/>
      </c>
      <c r="E40" s="245" t="n"/>
      <c r="F40" s="246" t="n"/>
      <c r="G40" s="32" t="n">
        <v>210.32</v>
      </c>
      <c r="H40" s="247" t="n"/>
      <c r="I40" s="32" t="n"/>
      <c r="J40" s="32">
        <f>ROUND(D40*(J15+J17),2)</f>
        <v/>
      </c>
    </row>
    <row r="41" ht="14.25" customFormat="1" customHeight="1" s="12">
      <c r="A41" s="244" t="n"/>
      <c r="B41" s="244" t="n"/>
      <c r="C41" s="243" t="inlineStr">
        <is>
          <t>Сметная прибыль</t>
        </is>
      </c>
      <c r="D41" s="133">
        <f>ROUND(G41/(G$15+G$17),2)</f>
        <v/>
      </c>
      <c r="E41" s="245" t="n"/>
      <c r="F41" s="246" t="n"/>
      <c r="G41" s="32" t="n">
        <v>110.58</v>
      </c>
      <c r="H41" s="247" t="n"/>
      <c r="I41" s="32" t="n"/>
      <c r="J41" s="32">
        <f>ROUND(D41*(J15+J17),2)</f>
        <v/>
      </c>
    </row>
    <row r="42" ht="14.25" customFormat="1" customHeight="1" s="12">
      <c r="A42" s="244" t="n"/>
      <c r="B42" s="244" t="n"/>
      <c r="C42" s="243" t="inlineStr">
        <is>
          <t>Итого СМР (с НР и СП)</t>
        </is>
      </c>
      <c r="D42" s="244" t="n"/>
      <c r="E42" s="245" t="n"/>
      <c r="F42" s="246" t="n"/>
      <c r="G42" s="32">
        <f>G15+G23+G38+G40+G41</f>
        <v/>
      </c>
      <c r="H42" s="247" t="n"/>
      <c r="I42" s="32" t="n"/>
      <c r="J42" s="32">
        <f>J15+J23+J38+J40+J41</f>
        <v/>
      </c>
    </row>
    <row r="43" ht="14.25" customFormat="1" customHeight="1" s="12">
      <c r="A43" s="244" t="n"/>
      <c r="B43" s="244" t="n"/>
      <c r="C43" s="243" t="inlineStr">
        <is>
          <t>ВСЕГО СМР + ОБОРУДОВАНИЕ</t>
        </is>
      </c>
      <c r="D43" s="244" t="n"/>
      <c r="E43" s="245" t="n"/>
      <c r="F43" s="246" t="n"/>
      <c r="G43" s="32">
        <f>G42+G28</f>
        <v/>
      </c>
      <c r="H43" s="247" t="n"/>
      <c r="I43" s="32" t="n"/>
      <c r="J43" s="32">
        <f>J42+J28</f>
        <v/>
      </c>
    </row>
    <row r="44" ht="34.5" customFormat="1" customHeight="1" s="12">
      <c r="A44" s="244" t="n"/>
      <c r="B44" s="244" t="n"/>
      <c r="C44" s="243" t="inlineStr">
        <is>
          <t>ИТОГО ПОКАЗАТЕЛЬ НА ЕД. ИЗМ.</t>
        </is>
      </c>
      <c r="D44" s="244" t="inlineStr">
        <is>
          <t>1 ед</t>
        </is>
      </c>
      <c r="E44" s="314" t="n">
        <v>1</v>
      </c>
      <c r="F44" s="246" t="n"/>
      <c r="G44" s="32">
        <f>G43/E44</f>
        <v/>
      </c>
      <c r="H44" s="247" t="n"/>
      <c r="I44" s="32" t="n"/>
      <c r="J44" s="32">
        <f>J43/E44</f>
        <v/>
      </c>
    </row>
    <row r="46" ht="14.25" customFormat="1" customHeight="1" s="12">
      <c r="A46" s="4" t="inlineStr">
        <is>
          <t>Составил ______________________    А.Р. Маркова</t>
        </is>
      </c>
    </row>
    <row r="47" ht="14.25" customFormat="1" customHeight="1" s="12">
      <c r="A47" s="33" t="inlineStr">
        <is>
          <t xml:space="preserve">                         (подпись, инициалы, фамилия)</t>
        </is>
      </c>
    </row>
    <row r="48" ht="14.25" customFormat="1" customHeight="1" s="12">
      <c r="A48" s="4" t="n"/>
    </row>
    <row r="49" ht="14.25" customFormat="1" customHeight="1" s="12">
      <c r="A49" s="4" t="inlineStr">
        <is>
          <t>Проверил ______________________        А.В. Костянецкая</t>
        </is>
      </c>
    </row>
    <row r="50" ht="14.25" customFormat="1" customHeight="1" s="12">
      <c r="A50" s="33" t="inlineStr">
        <is>
          <t xml:space="preserve">                        (подпись, инициалы, фамилия)</t>
        </is>
      </c>
    </row>
  </sheetData>
  <mergeCells count="21">
    <mergeCell ref="F10:G10"/>
    <mergeCell ref="B24:H24"/>
    <mergeCell ref="A4:J4"/>
    <mergeCell ref="B30:H30"/>
    <mergeCell ref="H2:J2"/>
    <mergeCell ref="C10:C11"/>
    <mergeCell ref="E10:E11"/>
    <mergeCell ref="A7:H7"/>
    <mergeCell ref="B16:H16"/>
    <mergeCell ref="B25:H25"/>
    <mergeCell ref="B10:B11"/>
    <mergeCell ref="B31:H31"/>
    <mergeCell ref="B18:H18"/>
    <mergeCell ref="D6:J6"/>
    <mergeCell ref="A10:A11"/>
    <mergeCell ref="A8:H8"/>
    <mergeCell ref="D10:D11"/>
    <mergeCell ref="B13:H13"/>
    <mergeCell ref="I10:J10"/>
    <mergeCell ref="B19:H19"/>
    <mergeCell ref="H10:H11"/>
  </mergeCells>
  <pageMargins left="0.62992125984252" right="0.236220472440945" top="0.748031496062992" bottom="0.748031496062992" header="0.31496062992126" footer="0.31496062992126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/>
  </sheetPr>
  <dimension ref="A1:G19"/>
  <sheetViews>
    <sheetView view="pageBreakPreview" workbookViewId="0">
      <selection activeCell="D16" sqref="D16"/>
    </sheetView>
  </sheetViews>
  <sheetFormatPr baseColWidth="8" defaultRowHeight="15"/>
  <cols>
    <col width="5.7109375" customWidth="1" min="1" max="1"/>
    <col width="17.5703125" customWidth="1" min="2" max="2"/>
    <col width="39.140625" customWidth="1" min="3" max="3"/>
    <col width="10.7109375" customWidth="1" min="4" max="4"/>
    <col width="13.85546875" customWidth="1" min="5" max="5"/>
    <col width="13.28515625" customWidth="1" min="6" max="6"/>
    <col width="14.140625" customWidth="1" min="7" max="7"/>
  </cols>
  <sheetData>
    <row r="1">
      <c r="A1" s="257" t="inlineStr">
        <is>
          <t>Приложение №6</t>
        </is>
      </c>
    </row>
    <row r="2" ht="21.75" customHeight="1">
      <c r="A2" s="257" t="n"/>
      <c r="B2" s="257" t="n"/>
      <c r="C2" s="257" t="n"/>
      <c r="D2" s="257" t="n"/>
      <c r="E2" s="257" t="n"/>
      <c r="F2" s="257" t="n"/>
      <c r="G2" s="257" t="n"/>
    </row>
    <row r="3">
      <c r="A3" s="215" t="inlineStr">
        <is>
          <t>Расчет стоимости оборудования</t>
        </is>
      </c>
    </row>
    <row r="4" ht="25.5" customHeight="1">
      <c r="A4" s="218" t="inlineStr">
        <is>
          <t>Наименование разрабатываемого показателя УНЦ — Муфта концевая до 1 кВ сечением до 120 мм2</t>
        </is>
      </c>
    </row>
    <row r="5">
      <c r="A5" s="4" t="n"/>
      <c r="B5" s="4" t="n"/>
      <c r="C5" s="4" t="n"/>
      <c r="D5" s="4" t="n"/>
      <c r="E5" s="4" t="n"/>
      <c r="F5" s="4" t="n"/>
      <c r="G5" s="4" t="n"/>
    </row>
    <row r="6" ht="30" customHeight="1">
      <c r="A6" s="262" t="inlineStr">
        <is>
          <t>№ пп.</t>
        </is>
      </c>
      <c r="B6" s="262" t="inlineStr">
        <is>
          <t>Код ресурса</t>
        </is>
      </c>
      <c r="C6" s="262" t="inlineStr">
        <is>
          <t>Наименование</t>
        </is>
      </c>
      <c r="D6" s="262" t="inlineStr">
        <is>
          <t>Ед. изм.</t>
        </is>
      </c>
      <c r="E6" s="244" t="inlineStr">
        <is>
          <t>Кол-во единиц по проектным данным</t>
        </is>
      </c>
      <c r="F6" s="262" t="inlineStr">
        <is>
          <t>Сметная стоимость в ценах на 01.01.2000 (руб.)</t>
        </is>
      </c>
      <c r="G6" s="309" t="n"/>
    </row>
    <row r="7">
      <c r="A7" s="311" t="n"/>
      <c r="B7" s="311" t="n"/>
      <c r="C7" s="311" t="n"/>
      <c r="D7" s="311" t="n"/>
      <c r="E7" s="311" t="n"/>
      <c r="F7" s="244" t="inlineStr">
        <is>
          <t>на ед. изм.</t>
        </is>
      </c>
      <c r="G7" s="244" t="inlineStr">
        <is>
          <t>общая</t>
        </is>
      </c>
    </row>
    <row r="8">
      <c r="A8" s="244" t="n">
        <v>1</v>
      </c>
      <c r="B8" s="244" t="n">
        <v>2</v>
      </c>
      <c r="C8" s="244" t="n">
        <v>3</v>
      </c>
      <c r="D8" s="244" t="n">
        <v>4</v>
      </c>
      <c r="E8" s="244" t="n">
        <v>5</v>
      </c>
      <c r="F8" s="244" t="n">
        <v>6</v>
      </c>
      <c r="G8" s="244" t="n">
        <v>7</v>
      </c>
    </row>
    <row r="9" ht="15" customHeight="1">
      <c r="A9" s="25" t="n"/>
      <c r="B9" s="243" t="inlineStr">
        <is>
          <t>ИНЖЕНЕРНОЕ ОБОРУДОВАНИЕ</t>
        </is>
      </c>
      <c r="C9" s="308" t="n"/>
      <c r="D9" s="308" t="n"/>
      <c r="E9" s="308" t="n"/>
      <c r="F9" s="308" t="n"/>
      <c r="G9" s="309" t="n"/>
    </row>
    <row r="10" ht="27" customHeight="1">
      <c r="A10" s="244" t="n"/>
      <c r="B10" s="233" t="n"/>
      <c r="C10" s="243" t="inlineStr">
        <is>
          <t>ИТОГО ИНЖЕНЕРНОЕ ОБОРУДОВАНИЕ</t>
        </is>
      </c>
      <c r="D10" s="233" t="n"/>
      <c r="E10" s="105" t="n"/>
      <c r="F10" s="246" t="n"/>
      <c r="G10" s="246" t="n">
        <v>0</v>
      </c>
    </row>
    <row r="11">
      <c r="A11" s="244" t="n"/>
      <c r="B11" s="243" t="inlineStr">
        <is>
          <t>ТЕХНОЛОГИЧЕСКОЕ ОБОРУДОВАНИЕ</t>
        </is>
      </c>
      <c r="C11" s="308" t="n"/>
      <c r="D11" s="308" t="n"/>
      <c r="E11" s="308" t="n"/>
      <c r="F11" s="308" t="n"/>
      <c r="G11" s="309" t="n"/>
    </row>
    <row r="12" ht="25.5" customHeight="1">
      <c r="A12" s="244" t="n"/>
      <c r="B12" s="243" t="n"/>
      <c r="C12" s="243" t="inlineStr">
        <is>
          <t>ИТОГО ТЕХНОЛОГИЧЕСКОЕ ОБОРУДОВАНИЕ</t>
        </is>
      </c>
      <c r="D12" s="243" t="n"/>
      <c r="E12" s="261" t="n"/>
      <c r="F12" s="246" t="n"/>
      <c r="G12" s="32" t="n">
        <v>0</v>
      </c>
    </row>
    <row r="13" ht="19.5" customHeight="1">
      <c r="A13" s="244" t="n"/>
      <c r="B13" s="243" t="n"/>
      <c r="C13" s="243" t="inlineStr">
        <is>
          <t>Всего по разделу «Оборудование»</t>
        </is>
      </c>
      <c r="D13" s="243" t="n"/>
      <c r="E13" s="261" t="n"/>
      <c r="F13" s="246" t="n"/>
      <c r="G13" s="32">
        <f>G10+G12</f>
        <v/>
      </c>
    </row>
    <row r="14">
      <c r="A14" s="30" t="n"/>
      <c r="B14" s="106" t="n"/>
      <c r="C14" s="30" t="n"/>
      <c r="D14" s="30" t="n"/>
      <c r="E14" s="30" t="n"/>
      <c r="F14" s="30" t="n"/>
      <c r="G14" s="30" t="n"/>
    </row>
    <row r="15">
      <c r="A15" s="4" t="inlineStr">
        <is>
          <t>Составил ______________________    А.Р. Маркова</t>
        </is>
      </c>
      <c r="B15" s="12" t="n"/>
      <c r="C15" s="12" t="n"/>
      <c r="D15" s="30" t="n"/>
      <c r="E15" s="30" t="n"/>
      <c r="F15" s="30" t="n"/>
      <c r="G15" s="30" t="n"/>
    </row>
    <row r="16">
      <c r="A16" s="33" t="inlineStr">
        <is>
          <t xml:space="preserve">                         (подпись, инициалы, фамилия)</t>
        </is>
      </c>
      <c r="B16" s="12" t="n"/>
      <c r="C16" s="12" t="n"/>
      <c r="D16" s="30" t="n"/>
      <c r="E16" s="30" t="n"/>
      <c r="F16" s="30" t="n"/>
      <c r="G16" s="30" t="n"/>
    </row>
    <row r="17">
      <c r="A17" s="4" t="n"/>
      <c r="B17" s="12" t="n"/>
      <c r="C17" s="12" t="n"/>
      <c r="D17" s="30" t="n"/>
      <c r="E17" s="30" t="n"/>
      <c r="F17" s="30" t="n"/>
      <c r="G17" s="30" t="n"/>
    </row>
    <row r="18">
      <c r="A18" s="4" t="inlineStr">
        <is>
          <t>Проверил ______________________        А.В. Костянецкая</t>
        </is>
      </c>
      <c r="B18" s="12" t="n"/>
      <c r="C18" s="12" t="n"/>
      <c r="D18" s="30" t="n"/>
      <c r="E18" s="30" t="n"/>
      <c r="F18" s="30" t="n"/>
      <c r="G18" s="30" t="n"/>
    </row>
    <row r="19">
      <c r="A19" s="33" t="inlineStr">
        <is>
          <t xml:space="preserve">                        (подпись, инициалы, фамилия)</t>
        </is>
      </c>
      <c r="B19" s="12" t="n"/>
      <c r="C19" s="12" t="n"/>
      <c r="D19" s="30" t="n"/>
      <c r="E19" s="30" t="n"/>
      <c r="F19" s="30" t="n"/>
      <c r="G19" s="3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 fitToPage="1"/>
  </sheetPr>
  <dimension ref="A1:D17"/>
  <sheetViews>
    <sheetView view="pageBreakPreview" workbookViewId="0">
      <selection activeCell="C13" sqref="C13"/>
    </sheetView>
  </sheetViews>
  <sheetFormatPr baseColWidth="8" defaultRowHeight="15"/>
  <cols>
    <col width="12.7109375" customWidth="1" min="1" max="1"/>
    <col width="22.42578125" customWidth="1" min="2" max="2"/>
    <col width="37.140625" customWidth="1" min="3" max="3"/>
    <col width="49" customWidth="1" min="4" max="4"/>
    <col width="9.140625" customWidth="1" min="5" max="5"/>
  </cols>
  <sheetData>
    <row r="1" ht="15.75" customHeight="1">
      <c r="A1" s="143" t="n"/>
      <c r="B1" s="143" t="n"/>
      <c r="C1" s="143" t="n"/>
      <c r="D1" s="143" t="inlineStr">
        <is>
          <t>Приложение №7</t>
        </is>
      </c>
    </row>
    <row r="2" ht="15.75" customHeight="1">
      <c r="A2" s="143" t="n"/>
      <c r="B2" s="143" t="n"/>
      <c r="C2" s="143" t="n"/>
      <c r="D2" s="143" t="n"/>
    </row>
    <row r="3" ht="15.75" customHeight="1">
      <c r="A3" s="143" t="n"/>
      <c r="B3" s="156" t="inlineStr">
        <is>
          <t>Расчет показателя УНЦ</t>
        </is>
      </c>
      <c r="C3" s="143" t="n"/>
      <c r="D3" s="143" t="n"/>
    </row>
    <row r="4" ht="15.75" customHeight="1">
      <c r="A4" s="143" t="n"/>
      <c r="B4" s="143" t="n"/>
      <c r="C4" s="143" t="n"/>
      <c r="D4" s="143" t="n"/>
    </row>
    <row r="5" ht="15.75" customHeight="1">
      <c r="A5" s="263" t="inlineStr">
        <is>
          <t xml:space="preserve">Наименование разрабатываемого показателя УНЦ - </t>
        </is>
      </c>
      <c r="D5" s="263">
        <f>'Прил.5 Расчет СМР и ОБ'!D6:J6</f>
        <v/>
      </c>
    </row>
    <row r="6" ht="15.75" customHeight="1">
      <c r="A6" s="143" t="inlineStr">
        <is>
          <t>Единица измерения  — 1 ед</t>
        </is>
      </c>
      <c r="B6" s="143" t="n"/>
      <c r="C6" s="143" t="n"/>
      <c r="D6" s="143" t="n"/>
    </row>
    <row r="7" ht="15.75" customHeight="1">
      <c r="A7" s="143" t="n"/>
      <c r="B7" s="143" t="n"/>
      <c r="C7" s="143" t="n"/>
      <c r="D7" s="143" t="n"/>
    </row>
    <row r="8">
      <c r="A8" s="230" t="inlineStr">
        <is>
          <t>Код показателя</t>
        </is>
      </c>
      <c r="B8" s="230" t="inlineStr">
        <is>
          <t>Наименование показателя</t>
        </is>
      </c>
      <c r="C8" s="230" t="inlineStr">
        <is>
          <t>Наименование РМ, входящих в состав показателя</t>
        </is>
      </c>
      <c r="D8" s="230" t="inlineStr">
        <is>
          <t>Норматив цены на 01.01.2023, тыс.руб.</t>
        </is>
      </c>
    </row>
    <row r="9">
      <c r="A9" s="311" t="n"/>
      <c r="B9" s="311" t="n"/>
      <c r="C9" s="311" t="n"/>
      <c r="D9" s="311" t="n"/>
    </row>
    <row r="10" ht="15.75" customHeight="1">
      <c r="A10" s="230" t="n">
        <v>1</v>
      </c>
      <c r="B10" s="230" t="n">
        <v>2</v>
      </c>
      <c r="C10" s="230" t="n">
        <v>3</v>
      </c>
      <c r="D10" s="230" t="n">
        <v>4</v>
      </c>
    </row>
    <row r="11" ht="31.5" customHeight="1">
      <c r="A11" s="230" t="inlineStr">
        <is>
          <t>К3-07-4</t>
        </is>
      </c>
      <c r="B11" s="230" t="inlineStr">
        <is>
          <t xml:space="preserve">УНЦ КЛ 0,4 кВ </t>
        </is>
      </c>
      <c r="C11" s="191">
        <f>D5</f>
        <v/>
      </c>
      <c r="D11" s="192">
        <f>'Прил.4 РМ'!C41/1000</f>
        <v/>
      </c>
    </row>
    <row r="13">
      <c r="A13" s="4" t="inlineStr">
        <is>
          <t>Составил ______________________        А.Р. Маркова</t>
        </is>
      </c>
      <c r="B13" s="12" t="n"/>
      <c r="C13" s="12" t="n"/>
      <c r="D13" s="30" t="n"/>
    </row>
    <row r="14">
      <c r="A14" s="33" t="inlineStr">
        <is>
          <t xml:space="preserve">                         (подпись, инициалы, фамилия)</t>
        </is>
      </c>
      <c r="B14" s="12" t="n"/>
      <c r="C14" s="12" t="n"/>
      <c r="D14" s="30" t="n"/>
    </row>
    <row r="15">
      <c r="A15" s="4" t="n"/>
      <c r="B15" s="12" t="n"/>
      <c r="C15" s="12" t="n"/>
      <c r="D15" s="30" t="n"/>
    </row>
    <row r="16">
      <c r="A16" s="4" t="inlineStr">
        <is>
          <t>Проверил ______________________        А.В. Костянецкая</t>
        </is>
      </c>
      <c r="B16" s="12" t="n"/>
      <c r="C16" s="12" t="n"/>
      <c r="D16" s="30" t="n"/>
    </row>
    <row r="17" ht="20.25" customHeight="1">
      <c r="A17" s="33" t="inlineStr">
        <is>
          <t xml:space="preserve">                        (подпись, инициалы, фамилия)</t>
        </is>
      </c>
      <c r="B17" s="12" t="n"/>
      <c r="C17" s="12" t="n"/>
      <c r="D17" s="30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fitToHeight="0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30"/>
  <sheetViews>
    <sheetView tabSelected="1" view="pageBreakPreview" topLeftCell="A16" zoomScale="60" zoomScaleNormal="85" workbookViewId="0">
      <selection activeCell="C23" sqref="C23"/>
    </sheetView>
  </sheetViews>
  <sheetFormatPr baseColWidth="8" defaultColWidth="9.140625" defaultRowHeight="15"/>
  <cols>
    <col width="40.7109375" customWidth="1" min="2" max="2"/>
    <col width="37" customWidth="1" min="3" max="3"/>
    <col width="32" customWidth="1" min="4" max="4"/>
  </cols>
  <sheetData>
    <row r="4" ht="15.75" customHeight="1">
      <c r="B4" s="225" t="inlineStr">
        <is>
          <t>Приложение № 10</t>
        </is>
      </c>
    </row>
    <row r="5" ht="18.75" customHeight="1">
      <c r="B5" s="117" t="n"/>
    </row>
    <row r="6" ht="15.75" customHeight="1">
      <c r="B6" s="226" t="inlineStr">
        <is>
          <t>Используемые индексы изменений сметной стоимости и нормы сопутствующих затрат</t>
        </is>
      </c>
    </row>
    <row r="7">
      <c r="B7" s="264" t="n"/>
    </row>
    <row r="8">
      <c r="B8" s="264" t="n"/>
      <c r="C8" s="264" t="n"/>
      <c r="D8" s="264" t="n"/>
      <c r="E8" s="264" t="n"/>
    </row>
    <row r="9" ht="47.25" customHeight="1">
      <c r="B9" s="230" t="inlineStr">
        <is>
          <t>Наименование индекса / норм сопутствующих затрат</t>
        </is>
      </c>
      <c r="C9" s="230" t="inlineStr">
        <is>
          <t>Дата применения и обоснование индекса / норм сопутствующих затрат</t>
        </is>
      </c>
      <c r="D9" s="230" t="inlineStr">
        <is>
          <t>Размер индекса / норма сопутствующих затрат</t>
        </is>
      </c>
    </row>
    <row r="10" ht="15.75" customHeight="1">
      <c r="B10" s="230" t="n">
        <v>1</v>
      </c>
      <c r="C10" s="230" t="n">
        <v>2</v>
      </c>
      <c r="D10" s="230" t="n">
        <v>3</v>
      </c>
    </row>
    <row r="11" ht="47.25" customHeight="1">
      <c r="B11" s="230" t="inlineStr">
        <is>
          <t xml:space="preserve">Индекс изменения сметной стоимости на 1 квартал 2023 года. ОЗП </t>
        </is>
      </c>
      <c r="C11" s="230" t="inlineStr">
        <is>
          <t>Письмо Минстроя России от 30.03.2023г. №17106-ИФ/09  прил.1</t>
        </is>
      </c>
      <c r="D11" s="230" t="n">
        <v>44.29</v>
      </c>
    </row>
    <row r="12" ht="47.25" customHeight="1">
      <c r="B12" s="230" t="inlineStr">
        <is>
          <t>Индекс изменения сметной стоимости на 1 квартал 2023 года. ЭМ</t>
        </is>
      </c>
      <c r="C12" s="230" t="inlineStr">
        <is>
          <t>Письмо Минстроя России от 30.03.2023г. №17106-ИФ/09  прил.1</t>
        </is>
      </c>
      <c r="D12" s="230" t="n">
        <v>10.84</v>
      </c>
    </row>
    <row r="13" ht="47.25" customHeight="1">
      <c r="B13" s="230" t="inlineStr">
        <is>
          <t>Индекс изменения сметной стоимости на 1 квартал 2023 года. МАТ</t>
        </is>
      </c>
      <c r="C13" s="230" t="inlineStr">
        <is>
          <t>Письмо Минстроя России от 30.03.2023г. №17106-ИФ/09  прил.1</t>
        </is>
      </c>
      <c r="D13" s="230" t="n">
        <v>5.34</v>
      </c>
    </row>
    <row r="14" ht="31.5" customHeight="1">
      <c r="B14" s="230" t="inlineStr">
        <is>
          <t>Индекс изменения сметной стоимости на 1 квартал 2023 года. ОБ</t>
        </is>
      </c>
      <c r="C14" s="116" t="inlineStr">
        <is>
          <t>Письмо Минстроя России от 23.02.2023г. №9791-ИФ/09 прил.6</t>
        </is>
      </c>
      <c r="D14" s="230" t="n">
        <v>6.26</v>
      </c>
    </row>
    <row r="15" ht="94.5" customHeight="1">
      <c r="B15" s="230" t="inlineStr">
        <is>
          <t>Временные здания и сооружения</t>
        </is>
      </c>
      <c r="C15" s="230" t="inlineStr">
        <is>
      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0" t="n">
        <v>0.025</v>
      </c>
    </row>
    <row r="16" ht="94.5" customHeight="1">
      <c r="B16" s="230" t="inlineStr">
        <is>
          <t>Дополнительные затраты при производстве строительно-монтажных работ в зимнее время</t>
        </is>
      </c>
      <c r="C16" s="230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0" t="n">
        <v>0.021</v>
      </c>
    </row>
    <row r="17" ht="31.5" customHeight="1">
      <c r="B17" s="230" t="inlineStr">
        <is>
          <t>Строительный контроль</t>
        </is>
      </c>
      <c r="C17" s="230" t="inlineStr">
        <is>
          <t>Постановление Правительства РФ от 21.06.10 г. № 468</t>
        </is>
      </c>
      <c r="D17" s="120" t="n">
        <v>0.0214</v>
      </c>
    </row>
    <row r="18" ht="31.5" customHeight="1">
      <c r="B18" s="230" t="inlineStr">
        <is>
          <t>Авторский надзор - 0,2%</t>
        </is>
      </c>
      <c r="C18" s="230" t="inlineStr">
        <is>
          <t>Приказ от 4.08.2020 № 421/пр п.173</t>
        </is>
      </c>
      <c r="D18" s="120" t="n">
        <v>0.002</v>
      </c>
    </row>
    <row r="19" ht="31.5" customHeight="1">
      <c r="B19" s="230" t="inlineStr">
        <is>
          <t>Непредвиденные расходы</t>
        </is>
      </c>
      <c r="C19" s="230" t="inlineStr">
        <is>
          <t>Приказ от 4.08.2020 № 421/пр п.179</t>
        </is>
      </c>
      <c r="D19" s="120" t="n">
        <v>0.03</v>
      </c>
    </row>
    <row r="20" ht="18.75" customHeight="1">
      <c r="B20" s="118" t="n"/>
    </row>
    <row r="21" ht="18.75" customHeight="1">
      <c r="B21" s="118" t="n"/>
    </row>
    <row r="22" ht="18.75" customHeight="1">
      <c r="B22" s="118" t="n"/>
    </row>
    <row r="23" ht="18.75" customHeight="1">
      <c r="B23" s="118" t="n"/>
    </row>
    <row r="26">
      <c r="B26" s="206" t="inlineStr">
        <is>
          <t>Составил ______________________        А.Р. Маркова</t>
        </is>
      </c>
      <c r="C26" s="12" t="n"/>
    </row>
    <row r="27">
      <c r="B27" s="33" t="inlineStr">
        <is>
          <t xml:space="preserve">                         (подпись, инициалы, фамилия)</t>
        </is>
      </c>
      <c r="C27" s="12" t="n"/>
    </row>
    <row r="28">
      <c r="B28" s="4" t="n"/>
      <c r="C28" s="12" t="n"/>
    </row>
    <row r="29">
      <c r="B29" s="4" t="inlineStr">
        <is>
          <t>Проверил ______________________        А.В. Костянецкая</t>
        </is>
      </c>
      <c r="C29" s="12" t="n"/>
    </row>
    <row r="30">
      <c r="B30" s="33" t="inlineStr">
        <is>
          <t xml:space="preserve">                        (подпись, инициалы, фамилия)</t>
        </is>
      </c>
      <c r="C30" s="12" t="n"/>
    </row>
  </sheetData>
  <mergeCells count="3">
    <mergeCell ref="B7:E7"/>
    <mergeCell ref="B6:D6"/>
    <mergeCell ref="B4:D4"/>
  </mergeCells>
  <pageMargins left="0.7086614173228351" right="0.7086614173228351" top="0.748031496062992" bottom="0.748031496062992" header="0.31496062992126" footer="0.31496062992126"/>
  <pageSetup orientation="portrait" scale="71" cellComments="atEnd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view="pageBreakPreview" zoomScale="60" zoomScaleNormal="100" workbookViewId="0">
      <selection activeCell="E12" sqref="E12"/>
    </sheetView>
  </sheetViews>
  <sheetFormatPr baseColWidth="8" defaultColWidth="9.140625" defaultRowHeight="15"/>
  <cols>
    <col width="44.85546875" customWidth="1" min="2" max="2"/>
    <col width="13" customWidth="1" min="3" max="3"/>
    <col width="22.85546875" customWidth="1" min="4" max="4"/>
    <col width="21.5703125" customWidth="1" min="5" max="5"/>
    <col width="53.7109375" bestFit="1" customWidth="1" min="6" max="6"/>
  </cols>
  <sheetData>
    <row r="2" ht="17.25" customHeight="1">
      <c r="A2" s="226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199" t="inlineStr">
        <is>
          <t>Составлен в уровне цен на 01.01.2023 г.</t>
        </is>
      </c>
      <c r="B4" s="143" t="n"/>
      <c r="C4" s="143" t="n"/>
      <c r="D4" s="143" t="n"/>
      <c r="E4" s="143" t="n"/>
      <c r="F4" s="143" t="n"/>
      <c r="G4" s="143" t="n"/>
    </row>
    <row r="5" ht="15.75" customHeight="1">
      <c r="A5" s="200" t="inlineStr">
        <is>
          <t>№ пп.</t>
        </is>
      </c>
      <c r="B5" s="200" t="inlineStr">
        <is>
          <t>Наименование элемента</t>
        </is>
      </c>
      <c r="C5" s="200" t="inlineStr">
        <is>
          <t>Обозначение</t>
        </is>
      </c>
      <c r="D5" s="200" t="inlineStr">
        <is>
          <t>Формула</t>
        </is>
      </c>
      <c r="E5" s="200" t="inlineStr">
        <is>
          <t>Величина элемента</t>
        </is>
      </c>
      <c r="F5" s="200" t="inlineStr">
        <is>
          <t>Наименования обосновывающих документов</t>
        </is>
      </c>
      <c r="G5" s="143" t="n"/>
    </row>
    <row r="6" ht="15.75" customHeight="1">
      <c r="A6" s="200" t="n">
        <v>1</v>
      </c>
      <c r="B6" s="200" t="n">
        <v>2</v>
      </c>
      <c r="C6" s="200" t="n">
        <v>3</v>
      </c>
      <c r="D6" s="200" t="n">
        <v>4</v>
      </c>
      <c r="E6" s="200" t="n">
        <v>5</v>
      </c>
      <c r="F6" s="200" t="n">
        <v>6</v>
      </c>
      <c r="G6" s="143" t="n"/>
    </row>
    <row r="7" ht="110.25" customHeight="1">
      <c r="A7" s="201" t="inlineStr">
        <is>
          <t>1.1</t>
        </is>
      </c>
      <c r="B7" s="189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30" t="inlineStr">
        <is>
          <t>С1ср</t>
        </is>
      </c>
      <c r="D7" s="230" t="inlineStr">
        <is>
          <t>-</t>
        </is>
      </c>
      <c r="E7" s="61" t="n">
        <v>47872.94</v>
      </c>
      <c r="F7" s="189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43" t="n"/>
    </row>
    <row r="8" ht="31.5" customHeight="1">
      <c r="A8" s="201" t="inlineStr">
        <is>
          <t>1.2</t>
        </is>
      </c>
      <c r="B8" s="189" t="inlineStr">
        <is>
          <t>Среднегодовое нормативное число часов работы одного рабочего в месяц, часы (ч.)</t>
        </is>
      </c>
      <c r="C8" s="230" t="inlineStr">
        <is>
          <t>tср</t>
        </is>
      </c>
      <c r="D8" s="230" t="inlineStr">
        <is>
          <t>1973ч/12мес.</t>
        </is>
      </c>
      <c r="E8" s="192">
        <f>1973/12</f>
        <v/>
      </c>
      <c r="F8" s="189" t="inlineStr">
        <is>
          <t>Производственный календарь 2023 год
(40-часов.неделя)</t>
        </is>
      </c>
      <c r="G8" s="202" t="n"/>
    </row>
    <row r="9" ht="15.75" customHeight="1">
      <c r="A9" s="201" t="inlineStr">
        <is>
          <t>1.3</t>
        </is>
      </c>
      <c r="B9" s="189" t="inlineStr">
        <is>
          <t>Коэффициент увеличения</t>
        </is>
      </c>
      <c r="C9" s="230" t="inlineStr">
        <is>
          <t>Кув</t>
        </is>
      </c>
      <c r="D9" s="230" t="inlineStr">
        <is>
          <t>-</t>
        </is>
      </c>
      <c r="E9" s="192" t="n">
        <v>1</v>
      </c>
      <c r="F9" s="189" t="n"/>
      <c r="G9" s="202" t="n"/>
    </row>
    <row r="10" ht="15.75" customHeight="1">
      <c r="A10" s="201" t="inlineStr">
        <is>
          <t>1.4</t>
        </is>
      </c>
      <c r="B10" s="189" t="inlineStr">
        <is>
          <t>Средний разряд работ</t>
        </is>
      </c>
      <c r="C10" s="230" t="n"/>
      <c r="D10" s="230" t="n"/>
      <c r="E10" s="320" t="n">
        <v>3.8</v>
      </c>
      <c r="F10" s="189" t="inlineStr">
        <is>
          <t>РТМ</t>
        </is>
      </c>
      <c r="G10" s="202" t="n"/>
    </row>
    <row r="11" ht="78.75" customHeight="1">
      <c r="A11" s="201" t="inlineStr">
        <is>
          <t>1.5</t>
        </is>
      </c>
      <c r="B11" s="189" t="inlineStr">
        <is>
          <t>Тарифный коэффициент среднего разряда работ</t>
        </is>
      </c>
      <c r="C11" s="230" t="inlineStr">
        <is>
          <t>КТ</t>
        </is>
      </c>
      <c r="D11" s="230" t="inlineStr">
        <is>
          <t>-</t>
        </is>
      </c>
      <c r="E11" s="321" t="n">
        <v>1.308</v>
      </c>
      <c r="F11" s="189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43" t="n"/>
    </row>
    <row r="12" ht="78.75" customHeight="1">
      <c r="A12" s="205" t="inlineStr">
        <is>
          <t>1.6</t>
        </is>
      </c>
      <c r="B12" s="207" t="inlineStr">
        <is>
          <t>Коэффициент инфляции, определяемый поквартально</t>
        </is>
      </c>
      <c r="C12" s="160" t="inlineStr">
        <is>
          <t>Кинф</t>
        </is>
      </c>
      <c r="D12" s="160" t="inlineStr">
        <is>
          <t>-</t>
        </is>
      </c>
      <c r="E12" s="322" t="n">
        <v>1.139</v>
      </c>
      <c r="F12" s="209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02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>
      <c r="A13" s="210" t="inlineStr">
        <is>
          <t>1.7</t>
        </is>
      </c>
      <c r="B13" s="211" t="inlineStr">
        <is>
          <t>Размер средств на оплату труда рабочих-строителей в текущем уровне цен (ФОТр.тек.), руб/чел.-ч</t>
        </is>
      </c>
      <c r="C13" s="212" t="inlineStr">
        <is>
          <t>ФОТр.тек.</t>
        </is>
      </c>
      <c r="D13" s="212" t="inlineStr">
        <is>
          <t>(С1ср/tср*КТ*Т*Кув)*Кинф</t>
        </is>
      </c>
      <c r="E13" s="213">
        <f>((E7*E9/E8)*E11)*E12</f>
        <v/>
      </c>
      <c r="F13" s="214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43" t="n"/>
    </row>
  </sheetData>
  <mergeCells count="1">
    <mergeCell ref="A2:F2"/>
  </mergeCells>
  <hyperlinks>
    <hyperlink xmlns:r="http://schemas.openxmlformats.org/officeDocument/2006/relationships" ref="G12" r:id="rId1"/>
  </hyperlinks>
  <pageMargins left="0.7086614173228351" right="0.7086614173228351" top="0.748031496062992" bottom="0.748031496062992" header="0.31496062992126" footer="0.31496062992126"/>
  <pageSetup orientation="portrait" scale="55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2025-01-24T12:07:51Z</dcterms:modified>
  <cp:lastModifiedBy>112</cp:lastModifiedBy>
</cp:coreProperties>
</file>