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.2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медной жилой) сечение жилы 150 мм2, количество жил 5 шт.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медными жилами 5х150 - 0,4 кВ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1.5" customHeight="1">
      <c r="B12" s="197" t="n">
        <v>1</v>
      </c>
      <c r="C12" s="160" t="inlineStr">
        <is>
          <t>Кабель силовой с медными жилами 5х150 - 0,4 кВ</t>
        </is>
      </c>
      <c r="D12" s="198" t="inlineStr">
        <is>
          <t>02-45-02</t>
        </is>
      </c>
      <c r="E12" s="147" t="inlineStr">
        <is>
          <t>ЛЭП 0,4/0,23 кВ, ТП 264</t>
        </is>
      </c>
      <c r="F12" s="199" t="n"/>
      <c r="G12" s="199" t="n">
        <v>8951.280000000001</v>
      </c>
      <c r="H12" s="199" t="n"/>
      <c r="I12" s="199" t="n"/>
      <c r="J12" s="200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8"/>
  <sheetViews>
    <sheetView tabSelected="1" view="pageBreakPreview" topLeftCell="A18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42" t="inlineStr">
        <is>
          <t>Наименование разрабатываемого показателя УНЦ - КЛ 0,4 кВ (с медной жилой) сечение жилы 150 мм2, количество жил 5 шт.</t>
        </is>
      </c>
    </row>
    <row r="7">
      <c r="A7" s="242" t="n"/>
      <c r="B7" s="242" t="n"/>
      <c r="C7" s="242" t="n"/>
      <c r="D7" s="242" t="n"/>
      <c r="E7" s="242" t="n"/>
      <c r="F7" s="242" t="n"/>
      <c r="G7" s="242" t="n"/>
      <c r="H7" s="242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7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48" t="n">
        <v>176</v>
      </c>
      <c r="G12" s="320" t="n">
        <v>9.4</v>
      </c>
      <c r="H12" s="169">
        <f>ROUND(F12*G12,2)</f>
        <v/>
      </c>
      <c r="M12" s="321" t="n"/>
    </row>
    <row r="13">
      <c r="A13" s="238" t="inlineStr">
        <is>
          <t>Затраты труда машинистов</t>
        </is>
      </c>
      <c r="B13" s="315" t="n"/>
      <c r="C13" s="315" t="n"/>
      <c r="D13" s="315" t="n"/>
      <c r="E13" s="316" t="n"/>
      <c r="F13" s="239" t="n"/>
      <c r="G13" s="157" t="n"/>
      <c r="H13" s="319">
        <f>H14</f>
        <v/>
      </c>
    </row>
    <row r="14">
      <c r="A14" s="269" t="n">
        <v>2</v>
      </c>
      <c r="B14" s="240" t="n"/>
      <c r="C14" s="178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38.8</v>
      </c>
      <c r="G14" s="169" t="n"/>
      <c r="H14" s="320" t="n">
        <v>486.94</v>
      </c>
    </row>
    <row r="15" customFormat="1" s="156">
      <c r="A15" s="239" t="inlineStr">
        <is>
          <t>Машины и механизмы</t>
        </is>
      </c>
      <c r="B15" s="315" t="n"/>
      <c r="C15" s="315" t="n"/>
      <c r="D15" s="315" t="n"/>
      <c r="E15" s="316" t="n"/>
      <c r="F15" s="239" t="n"/>
      <c r="G15" s="157" t="n"/>
      <c r="H15" s="319">
        <f>SUM(H16:H19)</f>
        <v/>
      </c>
    </row>
    <row r="16">
      <c r="A16" s="269" t="n">
        <v>3</v>
      </c>
      <c r="B16" s="240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0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9" t="n">
        <v>5</v>
      </c>
      <c r="B18" s="240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9" t="inlineStr">
        <is>
          <t>маш.час</t>
        </is>
      </c>
      <c r="F18" s="269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9" t="n">
        <v>6</v>
      </c>
      <c r="B19" s="240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39" t="inlineStr">
        <is>
          <t>Материалы</t>
        </is>
      </c>
      <c r="B20" s="315" t="n"/>
      <c r="C20" s="315" t="n"/>
      <c r="D20" s="315" t="n"/>
      <c r="E20" s="316" t="n"/>
      <c r="F20" s="239" t="n"/>
      <c r="G20" s="157" t="n"/>
      <c r="H20" s="319">
        <f>SUM(H21:H26)</f>
        <v/>
      </c>
    </row>
    <row r="21">
      <c r="A21" s="189" t="n">
        <v>7</v>
      </c>
      <c r="B21" s="189" t="n"/>
      <c r="C21" s="269" t="inlineStr">
        <is>
          <t>Прайс из СД ОП</t>
        </is>
      </c>
      <c r="D21" s="188" t="inlineStr">
        <is>
          <t>Кабель силовой с медными жилами 5х150 - 0,4 кВ</t>
        </is>
      </c>
      <c r="E21" s="269" t="inlineStr">
        <is>
          <t>км</t>
        </is>
      </c>
      <c r="F21" s="269" t="n">
        <v>1.1</v>
      </c>
      <c r="G21" s="188" t="n">
        <v>1002368.02</v>
      </c>
      <c r="H21" s="169" t="n">
        <v>1102604.822</v>
      </c>
    </row>
    <row r="22" ht="25.5" customHeight="1">
      <c r="A22" s="172" t="n">
        <v>8</v>
      </c>
      <c r="B22" s="240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0" t="n"/>
      <c r="C23" s="178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0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0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0" t="n"/>
      <c r="C26" s="178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8">
      <c r="H38" s="322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медной жилой) сечение жилы 150 мм2, количество жил 5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1" t="inlineStr">
        <is>
          <t>КЛ 0,4 кВ (с медной жилой) сечение жилы 150 мм2, количество жил 5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7" customFormat="1" customHeight="1" s="4">
      <c r="A8" s="225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6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48" t="inlineStr">
        <is>
          <t>на ед. изм.</t>
        </is>
      </c>
      <c r="G11" s="248" t="inlineStr">
        <is>
          <t>общая</t>
        </is>
      </c>
      <c r="H11" s="318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9" t="n">
        <v>9</v>
      </c>
      <c r="J12" s="249" t="n">
        <v>10</v>
      </c>
      <c r="M12" s="12" t="n"/>
      <c r="N12" s="12" t="n"/>
    </row>
    <row r="13">
      <c r="A13" s="248" t="n"/>
      <c r="B13" s="238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48" t="n">
        <v>1</v>
      </c>
      <c r="B14" s="135" t="inlineStr">
        <is>
          <t>1-3-8</t>
        </is>
      </c>
      <c r="C14" s="256" t="inlineStr">
        <is>
          <t>Затраты труда рабочих-строителей среднего разряда (3,8)</t>
        </is>
      </c>
      <c r="D14" s="248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38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9" t="n">
        <v>1</v>
      </c>
      <c r="I15" s="125" t="n"/>
      <c r="J15" s="32">
        <f>SUM(J14:J14)</f>
        <v/>
      </c>
    </row>
    <row r="16" ht="14.25" customFormat="1" customHeight="1" s="12">
      <c r="A16" s="248" t="n"/>
      <c r="B16" s="256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48" t="n">
        <v>2</v>
      </c>
      <c r="B17" s="248" t="n">
        <v>2</v>
      </c>
      <c r="C17" s="256" t="inlineStr">
        <is>
          <t>Затраты труда машинистов</t>
        </is>
      </c>
      <c r="D17" s="248" t="inlineStr">
        <is>
          <t>чел.-ч.</t>
        </is>
      </c>
      <c r="E17" s="324" t="n">
        <v>38.8</v>
      </c>
      <c r="F17" s="32">
        <f>G17/E17</f>
        <v/>
      </c>
      <c r="G17" s="32">
        <f>'Прил. 3'!H13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38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48" t="n"/>
      <c r="B19" s="256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48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8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8" t="n"/>
      <c r="B22" s="248" t="n"/>
      <c r="C22" s="256" t="inlineStr">
        <is>
          <t>Итого основные машины и механизмы</t>
        </is>
      </c>
      <c r="D22" s="248" t="n"/>
      <c r="E22" s="325" t="n"/>
      <c r="F22" s="32" t="n"/>
      <c r="G22" s="32">
        <f>SUM(G20:G21)</f>
        <v/>
      </c>
      <c r="H22" s="259">
        <f>G22/G26</f>
        <v/>
      </c>
      <c r="I22" s="127" t="n"/>
      <c r="J22" s="32">
        <f>SUM(J20:J21)</f>
        <v/>
      </c>
    </row>
    <row r="23" outlineLevel="1" ht="25.5" customFormat="1" customHeight="1" s="12">
      <c r="A23" s="248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9" t="inlineStr">
        <is>
          <t>маш.час</t>
        </is>
      </c>
      <c r="E23" s="32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8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8" t="n"/>
      <c r="B25" s="248" t="n"/>
      <c r="C25" s="256" t="inlineStr">
        <is>
          <t>Итого прочие машины и механизмы</t>
        </is>
      </c>
      <c r="D25" s="248" t="n"/>
      <c r="E25" s="257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8" t="n"/>
      <c r="B26" s="248" t="n"/>
      <c r="C26" s="238" t="inlineStr">
        <is>
          <t>Итого по разделу «Машины и механизмы»</t>
        </is>
      </c>
      <c r="D26" s="248" t="n"/>
      <c r="E26" s="257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8" t="n"/>
      <c r="B27" s="238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48" t="n"/>
      <c r="B28" s="256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48" t="n"/>
      <c r="B29" s="248" t="n"/>
      <c r="C29" s="256" t="inlineStr">
        <is>
          <t>Итого основное оборудование</t>
        </is>
      </c>
      <c r="D29" s="248" t="n"/>
      <c r="E29" s="324" t="n"/>
      <c r="F29" s="258" t="n"/>
      <c r="G29" s="32" t="n">
        <v>0</v>
      </c>
      <c r="H29" s="128" t="n">
        <v>0</v>
      </c>
      <c r="I29" s="127" t="n"/>
      <c r="J29" s="32" t="n">
        <v>0</v>
      </c>
    </row>
    <row r="30">
      <c r="A30" s="248" t="n"/>
      <c r="B30" s="248" t="n"/>
      <c r="C30" s="256" t="inlineStr">
        <is>
          <t>Итого прочее оборудование</t>
        </is>
      </c>
      <c r="D30" s="248" t="n"/>
      <c r="E30" s="325" t="n"/>
      <c r="F30" s="258" t="n"/>
      <c r="G30" s="32" t="n">
        <v>0</v>
      </c>
      <c r="H30" s="128" t="n">
        <v>0</v>
      </c>
      <c r="I30" s="127" t="n"/>
      <c r="J30" s="32" t="n">
        <v>0</v>
      </c>
    </row>
    <row r="31">
      <c r="A31" s="248" t="n"/>
      <c r="B31" s="248" t="n"/>
      <c r="C31" s="238" t="inlineStr">
        <is>
          <t>Итого по разделу «Оборудование»</t>
        </is>
      </c>
      <c r="D31" s="248" t="n"/>
      <c r="E31" s="257" t="n"/>
      <c r="F31" s="258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8" t="n"/>
      <c r="B32" s="248" t="n"/>
      <c r="C32" s="256" t="inlineStr">
        <is>
          <t>в том числе технологическое оборудование</t>
        </is>
      </c>
      <c r="D32" s="248" t="n"/>
      <c r="E32" s="324" t="n"/>
      <c r="F32" s="258" t="n"/>
      <c r="G32" s="32">
        <f>'Прил.6 Расчет ОБ'!G12</f>
        <v/>
      </c>
      <c r="H32" s="259" t="n"/>
      <c r="I32" s="127" t="n"/>
      <c r="J32" s="32">
        <f>J31</f>
        <v/>
      </c>
    </row>
    <row r="33" ht="14.25" customFormat="1" customHeight="1" s="12">
      <c r="A33" s="248" t="n"/>
      <c r="B33" s="238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9" t="n"/>
      <c r="B34" s="252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48" t="n">
        <v>7</v>
      </c>
      <c r="B35" s="192" t="inlineStr">
        <is>
          <t>БЦ.87.31</t>
        </is>
      </c>
      <c r="C35" s="171" t="inlineStr">
        <is>
          <t>Кабель силовой с медными жилами 5х150 - 0,4 кВ</t>
        </is>
      </c>
      <c r="D35" s="248" t="inlineStr">
        <is>
          <t>км</t>
        </is>
      </c>
      <c r="E35" s="324" t="n">
        <v>1.1</v>
      </c>
      <c r="F35" s="258">
        <f>ROUND(I35/'Прил. 10'!$D$13,2)</f>
        <v/>
      </c>
      <c r="G35" s="32">
        <f>ROUND(E35*F35,2)</f>
        <v/>
      </c>
      <c r="H35" s="128">
        <f>G35/$G$43</f>
        <v/>
      </c>
      <c r="I35" s="32" t="n">
        <v>5610739.23</v>
      </c>
      <c r="J35" s="32">
        <f>ROUND(I35*E35,2)</f>
        <v/>
      </c>
    </row>
    <row r="36" ht="14.25" customFormat="1" customHeight="1" s="12">
      <c r="A36" s="250" t="n"/>
      <c r="B36" s="140" t="n"/>
      <c r="C36" s="141" t="inlineStr">
        <is>
          <t>Итого основные материалы</t>
        </is>
      </c>
      <c r="D36" s="250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8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8" t="n">
        <v>9</v>
      </c>
      <c r="B38" s="178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8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8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8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8" t="n"/>
      <c r="B42" s="248" t="n"/>
      <c r="C42" s="256" t="inlineStr">
        <is>
          <t>Итого прочие материалы</t>
        </is>
      </c>
      <c r="D42" s="248" t="n"/>
      <c r="E42" s="324" t="n"/>
      <c r="F42" s="258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8" t="n"/>
      <c r="B43" s="248" t="n"/>
      <c r="C43" s="238" t="inlineStr">
        <is>
          <t>Итого по разделу «Материалы»</t>
        </is>
      </c>
      <c r="D43" s="248" t="n"/>
      <c r="E43" s="257" t="n"/>
      <c r="F43" s="258" t="n"/>
      <c r="G43" s="32">
        <f>G36+G42</f>
        <v/>
      </c>
      <c r="H43" s="259">
        <f>G43/$G$43</f>
        <v/>
      </c>
      <c r="I43" s="32" t="n"/>
      <c r="J43" s="32">
        <f>J36+J42</f>
        <v/>
      </c>
    </row>
    <row r="44" ht="14.25" customFormat="1" customHeight="1" s="12">
      <c r="A44" s="248" t="n"/>
      <c r="B44" s="248" t="n"/>
      <c r="C44" s="256" t="inlineStr">
        <is>
          <t>ИТОГО ПО РМ</t>
        </is>
      </c>
      <c r="D44" s="248" t="n"/>
      <c r="E44" s="257" t="n"/>
      <c r="F44" s="258" t="n"/>
      <c r="G44" s="32">
        <f>G15+G26+G43</f>
        <v/>
      </c>
      <c r="H44" s="259" t="n"/>
      <c r="I44" s="32" t="n"/>
      <c r="J44" s="32">
        <f>J15+J26+J43</f>
        <v/>
      </c>
    </row>
    <row r="45" ht="14.25" customFormat="1" customHeight="1" s="12">
      <c r="A45" s="248" t="n"/>
      <c r="B45" s="248" t="n"/>
      <c r="C45" s="256" t="inlineStr">
        <is>
          <t>Накладные расходы</t>
        </is>
      </c>
      <c r="D45" s="133">
        <f>ROUND(G45/(G$17+$G$15),2)</f>
        <v/>
      </c>
      <c r="E45" s="257" t="n"/>
      <c r="F45" s="258" t="n"/>
      <c r="G45" s="32" t="n">
        <v>2077.06</v>
      </c>
      <c r="H45" s="259" t="n"/>
      <c r="I45" s="32" t="n"/>
      <c r="J45" s="32">
        <f>ROUND(D45*(J15+J17),2)</f>
        <v/>
      </c>
    </row>
    <row r="46" ht="14.25" customFormat="1" customHeight="1" s="12">
      <c r="A46" s="248" t="n"/>
      <c r="B46" s="248" t="n"/>
      <c r="C46" s="256" t="inlineStr">
        <is>
          <t>Сметная прибыль</t>
        </is>
      </c>
      <c r="D46" s="133">
        <f>ROUND(G46/(G$15+G$17),2)</f>
        <v/>
      </c>
      <c r="E46" s="257" t="n"/>
      <c r="F46" s="258" t="n"/>
      <c r="G46" s="32" t="n">
        <v>1092.06</v>
      </c>
      <c r="H46" s="259" t="n"/>
      <c r="I46" s="32" t="n"/>
      <c r="J46" s="32">
        <f>ROUND(D46*(J15+J17),2)</f>
        <v/>
      </c>
    </row>
    <row r="47" ht="14.25" customFormat="1" customHeight="1" s="12">
      <c r="A47" s="248" t="n"/>
      <c r="B47" s="248" t="n"/>
      <c r="C47" s="256" t="inlineStr">
        <is>
          <t>Итого СМР (с НР и СП)</t>
        </is>
      </c>
      <c r="D47" s="248" t="n"/>
      <c r="E47" s="257" t="n"/>
      <c r="F47" s="258" t="n"/>
      <c r="G47" s="32">
        <f>G15+G26+G43+G45+G46</f>
        <v/>
      </c>
      <c r="H47" s="259" t="n"/>
      <c r="I47" s="32" t="n"/>
      <c r="J47" s="32">
        <f>J15+J26+J43+J45+J46</f>
        <v/>
      </c>
    </row>
    <row r="48" ht="14.25" customFormat="1" customHeight="1" s="12">
      <c r="A48" s="248" t="n"/>
      <c r="B48" s="248" t="n"/>
      <c r="C48" s="256" t="inlineStr">
        <is>
          <t>ВСЕГО СМР + ОБОРУДОВАНИЕ</t>
        </is>
      </c>
      <c r="D48" s="248" t="n"/>
      <c r="E48" s="257" t="n"/>
      <c r="F48" s="258" t="n"/>
      <c r="G48" s="32">
        <f>G47+G31</f>
        <v/>
      </c>
      <c r="H48" s="259" t="n"/>
      <c r="I48" s="32" t="n"/>
      <c r="J48" s="32">
        <f>J47+J31</f>
        <v/>
      </c>
    </row>
    <row r="49" ht="34.5" customFormat="1" customHeight="1" s="12">
      <c r="A49" s="248" t="n"/>
      <c r="B49" s="248" t="n"/>
      <c r="C49" s="256" t="inlineStr">
        <is>
          <t>ИТОГО ПОКАЗАТЕЛЬ НА ЕД. ИЗМ.</t>
        </is>
      </c>
      <c r="D49" s="248" t="inlineStr">
        <is>
          <t>1 км</t>
        </is>
      </c>
      <c r="E49" s="324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медной жилой) сечение жилы 150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8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56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48" t="n"/>
      <c r="B10" s="238" t="n"/>
      <c r="C10" s="256" t="inlineStr">
        <is>
          <t>ИТОГО ИНЖЕНЕРНОЕ ОБОРУДОВАНИЕ</t>
        </is>
      </c>
      <c r="D10" s="238" t="n"/>
      <c r="E10" s="105" t="n"/>
      <c r="F10" s="258" t="n"/>
      <c r="G10" s="258" t="n">
        <v>0</v>
      </c>
    </row>
    <row r="11">
      <c r="A11" s="248" t="n"/>
      <c r="B11" s="256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48" t="n"/>
      <c r="B12" s="256" t="n"/>
      <c r="C12" s="256" t="inlineStr">
        <is>
          <t>ИТОГО ТЕХНОЛОГИЧЕСКОЕ ОБОРУДОВАНИЕ</t>
        </is>
      </c>
      <c r="D12" s="256" t="n"/>
      <c r="E12" s="268" t="n"/>
      <c r="F12" s="258" t="n"/>
      <c r="G12" s="32" t="n">
        <v>0</v>
      </c>
    </row>
    <row r="13" ht="19.5" customHeight="1">
      <c r="A13" s="248" t="n"/>
      <c r="B13" s="256" t="n"/>
      <c r="C13" s="256" t="inlineStr">
        <is>
          <t>Всего по разделу «Оборудование»</t>
        </is>
      </c>
      <c r="D13" s="256" t="n"/>
      <c r="E13" s="268" t="n"/>
      <c r="F13" s="25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К3-08-4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10.84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5.34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9" t="n"/>
    </row>
    <row r="9" ht="15.75" customHeight="1">
      <c r="A9" s="208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9" t="n"/>
    </row>
    <row r="10" ht="15.75" customHeight="1">
      <c r="A10" s="208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3.8</v>
      </c>
      <c r="F10" s="193" t="inlineStr">
        <is>
          <t>РТМ</t>
        </is>
      </c>
      <c r="G10" s="209" t="n"/>
    </row>
    <row r="11" ht="78.75" customHeight="1">
      <c r="A11" s="208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2025-01-24T12:07:57Z</dcterms:modified>
  <cp:lastModifiedBy>112</cp:lastModifiedBy>
</cp:coreProperties>
</file>