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с системой термомониторинга сечение жилы 300 мм2, сечение экрана 265 мм2</t>
        </is>
      </c>
    </row>
    <row r="8" ht="31.5" customHeight="1" s="325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300 мм2, сечение экрана 265 мм2</t>
        </is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11">
        <f>'Прил.2 Расч стоим'!F13+'Прил.2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11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1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1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12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309" t="n"/>
    </row>
    <row r="28">
      <c r="B28" s="327" t="inlineStr">
        <is>
          <t>Составил ______________________    А.Р. Маркова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7" t="inlineStr">
        <is>
          <t>Приложение № 2</t>
        </is>
      </c>
      <c r="K3" s="309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47.25" customHeight="1" s="325">
      <c r="B12" s="315" t="n">
        <v>1</v>
      </c>
      <c r="C12" s="344">
        <f>'Прил.1 Сравнит табл'!D16</f>
        <v/>
      </c>
      <c r="D12" s="317" t="inlineStr">
        <is>
          <t>02-08-01</t>
        </is>
      </c>
      <c r="E12" s="339" t="inlineStr">
        <is>
          <t>Заходы КЛ 220 кВ</t>
        </is>
      </c>
      <c r="F12" s="319" t="n">
        <v>6420.24</v>
      </c>
      <c r="G12" s="319" t="n">
        <v>21756.4124036</v>
      </c>
      <c r="H12" s="319" t="n"/>
      <c r="I12" s="319" t="n"/>
      <c r="J12" s="320">
        <f>SUM(F12:I12)</f>
        <v/>
      </c>
      <c r="K12" s="321" t="n"/>
      <c r="L12" s="321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23">
        <f>SUM(F12:F12)</f>
        <v/>
      </c>
      <c r="G13" s="323">
        <f>SUM(G12:G12)</f>
        <v/>
      </c>
      <c r="H13" s="323">
        <f>SUM(H12:H12)</f>
        <v/>
      </c>
      <c r="I13" s="323" t="n"/>
      <c r="J13" s="323">
        <f>SUM(F13:I13)</f>
        <v/>
      </c>
      <c r="K13" s="321" t="n"/>
      <c r="L13" s="321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23">
        <f>F13</f>
        <v/>
      </c>
      <c r="G14" s="323">
        <f>G13</f>
        <v/>
      </c>
      <c r="H14" s="323">
        <f>H13</f>
        <v/>
      </c>
      <c r="I14" s="323">
        <f>'Прил.1 Сравнит табл'!D21</f>
        <v/>
      </c>
      <c r="J14" s="323">
        <f>SUM(F14:I14)</f>
        <v/>
      </c>
      <c r="K14" s="327" t="n"/>
      <c r="L14" s="321" t="n"/>
    </row>
    <row r="15" ht="15" customHeight="1" s="325"/>
    <row r="16" ht="15" customHeight="1" s="325"/>
    <row r="17" ht="15" customHeight="1" s="325"/>
    <row r="18" ht="15" customHeight="1" s="325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5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5">
      <c r="C20" s="305" t="n"/>
      <c r="D20" s="306" t="n"/>
      <c r="E20" s="306" t="n"/>
    </row>
    <row r="21" ht="15" customHeight="1" s="325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5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zoomScale="85" workbookViewId="0">
      <selection activeCell="L12" sqref="L12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7" t="inlineStr">
        <is>
          <t xml:space="preserve">Приложение № 3 </t>
        </is>
      </c>
    </row>
    <row r="2">
      <c r="A2" s="358" t="inlineStr">
        <is>
          <t>Объектная ресурсная ведомость</t>
        </is>
      </c>
    </row>
    <row r="3" ht="18.75" customHeight="1" s="325">
      <c r="A3" s="265" t="n"/>
      <c r="B3" s="265" t="n"/>
      <c r="C3" s="368" t="n"/>
    </row>
    <row r="4">
      <c r="A4" s="359" t="n"/>
    </row>
    <row r="5">
      <c r="A5" s="367" t="inlineStr">
        <is>
          <t>Наименование разрабатываемого показателя УНЦ -  КЛ 220 кВ с системой термомониторинга сечение жилы 300 мм2, сечение экрана 265 мм2</t>
        </is>
      </c>
    </row>
    <row r="6">
      <c r="A6" s="367" t="n"/>
      <c r="B6" s="367" t="n"/>
      <c r="C6" s="367" t="n"/>
      <c r="D6" s="367" t="n"/>
      <c r="E6" s="367" t="n"/>
      <c r="F6" s="367" t="n"/>
      <c r="G6" s="367" t="n"/>
      <c r="H6" s="367" t="n"/>
    </row>
    <row r="7" ht="38.25" customHeight="1" s="325">
      <c r="A7" s="362" t="inlineStr">
        <is>
          <t>п/п</t>
        </is>
      </c>
      <c r="B7" s="362" t="inlineStr">
        <is>
          <t>№ЛСР</t>
        </is>
      </c>
      <c r="C7" s="362" t="inlineStr">
        <is>
          <t>Код ресурса</t>
        </is>
      </c>
      <c r="D7" s="362" t="inlineStr">
        <is>
          <t>Наименование ресурса</t>
        </is>
      </c>
      <c r="E7" s="362" t="inlineStr">
        <is>
          <t>Ед. изм.</t>
        </is>
      </c>
      <c r="F7" s="362" t="inlineStr">
        <is>
          <t>Кол-во единиц по данным объекта-представителя</t>
        </is>
      </c>
      <c r="G7" s="362" t="inlineStr">
        <is>
          <t>Сметная стоимость в ценах на 01.01.2000 (руб.)</t>
        </is>
      </c>
      <c r="H7" s="441" t="n"/>
    </row>
    <row r="8" ht="40.5" customHeight="1" s="325">
      <c r="A8" s="443" t="n"/>
      <c r="B8" s="443" t="n"/>
      <c r="C8" s="443" t="n"/>
      <c r="D8" s="443" t="n"/>
      <c r="E8" s="443" t="n"/>
      <c r="F8" s="443" t="n"/>
      <c r="G8" s="362" t="inlineStr">
        <is>
          <t>на ед.изм.</t>
        </is>
      </c>
      <c r="H8" s="362" t="inlineStr">
        <is>
          <t>общая</t>
        </is>
      </c>
    </row>
    <row r="9">
      <c r="A9" s="344" t="n">
        <v>1</v>
      </c>
      <c r="B9" s="344" t="n"/>
      <c r="C9" s="344" t="n">
        <v>2</v>
      </c>
      <c r="D9" s="344" t="inlineStr">
        <is>
          <t>З</t>
        </is>
      </c>
      <c r="E9" s="344" t="n">
        <v>4</v>
      </c>
      <c r="F9" s="344" t="n">
        <v>5</v>
      </c>
      <c r="G9" s="344" t="n">
        <v>6</v>
      </c>
      <c r="H9" s="344" t="n">
        <v>7</v>
      </c>
    </row>
    <row r="10" customFormat="1" s="299">
      <c r="A10" s="364" t="inlineStr">
        <is>
          <t>Затраты труда рабочих</t>
        </is>
      </c>
      <c r="B10" s="440" t="n"/>
      <c r="C10" s="440" t="n"/>
      <c r="D10" s="440" t="n"/>
      <c r="E10" s="441" t="n"/>
      <c r="F10" s="444">
        <f>SUM(F11:F11)</f>
        <v/>
      </c>
      <c r="G10" s="262" t="n"/>
      <c r="H10" s="445">
        <f>SUM(H11:H11)</f>
        <v/>
      </c>
    </row>
    <row r="11">
      <c r="A11" s="394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94" t="inlineStr">
        <is>
          <t>чел.-ч</t>
        </is>
      </c>
      <c r="F11" s="373" t="n">
        <v>1028.5</v>
      </c>
      <c r="G11" s="446" t="n">
        <v>9.619999999999999</v>
      </c>
      <c r="H11" s="284">
        <f>ROUND(F11*G11,2)</f>
        <v/>
      </c>
      <c r="M11" s="447" t="n"/>
    </row>
    <row r="12">
      <c r="A12" s="363" t="inlineStr">
        <is>
          <t>Затраты труда машинистов</t>
        </is>
      </c>
      <c r="B12" s="440" t="n"/>
      <c r="C12" s="440" t="n"/>
      <c r="D12" s="440" t="n"/>
      <c r="E12" s="441" t="n"/>
      <c r="F12" s="364" t="n"/>
      <c r="G12" s="239" t="n"/>
      <c r="H12" s="445">
        <f>H13</f>
        <v/>
      </c>
    </row>
    <row r="13">
      <c r="A13" s="394" t="n">
        <v>2</v>
      </c>
      <c r="B13" s="365" t="n"/>
      <c r="C13" s="272" t="n">
        <v>2</v>
      </c>
      <c r="D13" s="273" t="inlineStr">
        <is>
          <t>Затраты труда машинистов</t>
        </is>
      </c>
      <c r="E13" s="394" t="inlineStr">
        <is>
          <t>чел.-ч</t>
        </is>
      </c>
      <c r="F13" s="394" t="n">
        <v>75.5</v>
      </c>
      <c r="G13" s="258" t="n"/>
      <c r="H13" s="448" t="n">
        <v>887.7</v>
      </c>
    </row>
    <row r="14" customFormat="1" s="299">
      <c r="A14" s="364" t="inlineStr">
        <is>
          <t>Машины и механизмы</t>
        </is>
      </c>
      <c r="B14" s="440" t="n"/>
      <c r="C14" s="440" t="n"/>
      <c r="D14" s="440" t="n"/>
      <c r="E14" s="441" t="n"/>
      <c r="F14" s="364" t="n"/>
      <c r="G14" s="239" t="n"/>
      <c r="H14" s="445">
        <f>SUM(H15:H24)</f>
        <v/>
      </c>
    </row>
    <row r="15" ht="25.5" customHeight="1" s="325">
      <c r="A15" s="394" t="n">
        <v>3</v>
      </c>
      <c r="B15" s="365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94" t="inlineStr">
        <is>
          <t>маш.час</t>
        </is>
      </c>
      <c r="F15" s="394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9">
      <c r="A16" s="394" t="n">
        <v>4</v>
      </c>
      <c r="B16" s="365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94" t="inlineStr">
        <is>
          <t>маш.час</t>
        </is>
      </c>
      <c r="F16" s="394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94" t="n">
        <v>5</v>
      </c>
      <c r="B17" s="365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94" t="inlineStr">
        <is>
          <t>маш.час</t>
        </is>
      </c>
      <c r="F17" s="394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94" t="n">
        <v>6</v>
      </c>
      <c r="B18" s="365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94" t="inlineStr">
        <is>
          <t>маш.час</t>
        </is>
      </c>
      <c r="F18" s="394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94" t="n">
        <v>7</v>
      </c>
      <c r="B19" s="365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94" t="inlineStr">
        <is>
          <t>маш.час</t>
        </is>
      </c>
      <c r="F19" s="394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94" t="n">
        <v>8</v>
      </c>
      <c r="B20" s="365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94" t="inlineStr">
        <is>
          <t>маш.час</t>
        </is>
      </c>
      <c r="F20" s="394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94" t="n">
        <v>9</v>
      </c>
      <c r="B21" s="365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94" t="inlineStr">
        <is>
          <t>маш.час</t>
        </is>
      </c>
      <c r="F21" s="394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94" t="n">
        <v>10</v>
      </c>
      <c r="B22" s="365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94" t="inlineStr">
        <is>
          <t>маш.час</t>
        </is>
      </c>
      <c r="F22" s="394" t="n">
        <v>8</v>
      </c>
      <c r="G22" s="275" t="n">
        <v>13.5</v>
      </c>
      <c r="H22" s="284">
        <f>ROUND(F22*G22,2)</f>
        <v/>
      </c>
      <c r="J22" s="289" t="n"/>
    </row>
    <row r="23">
      <c r="A23" s="394" t="n">
        <v>11</v>
      </c>
      <c r="B23" s="365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94" t="inlineStr">
        <is>
          <t>маш.час</t>
        </is>
      </c>
      <c r="F23" s="394" t="n">
        <v>8</v>
      </c>
      <c r="G23" s="275" t="n">
        <v>3.31</v>
      </c>
      <c r="H23" s="284">
        <f>ROUND(F23*G23,2)</f>
        <v/>
      </c>
      <c r="J23" s="289" t="n"/>
    </row>
    <row r="24">
      <c r="A24" s="394" t="n">
        <v>12</v>
      </c>
      <c r="B24" s="365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94" t="inlineStr">
        <is>
          <t>маш.час</t>
        </is>
      </c>
      <c r="F24" s="394" t="n">
        <v>40.8</v>
      </c>
      <c r="G24" s="275" t="n">
        <v>0.48</v>
      </c>
      <c r="H24" s="284">
        <f>ROUND(F24*G24,2)</f>
        <v/>
      </c>
      <c r="J24" s="289" t="n"/>
    </row>
    <row r="25">
      <c r="A25" s="364" t="inlineStr">
        <is>
          <t>Материалы</t>
        </is>
      </c>
      <c r="B25" s="440" t="n"/>
      <c r="C25" s="440" t="n"/>
      <c r="D25" s="440" t="n"/>
      <c r="E25" s="441" t="n"/>
      <c r="F25" s="364" t="n"/>
      <c r="G25" s="239" t="n"/>
      <c r="H25" s="445">
        <f>SUM(H26:H27)</f>
        <v/>
      </c>
    </row>
    <row r="26" ht="25.5" customHeight="1" s="325">
      <c r="A26" s="282" t="n">
        <v>13</v>
      </c>
      <c r="B26" s="282" t="n"/>
      <c r="C26" s="394" t="inlineStr">
        <is>
          <t>Прайс из СД ОП</t>
        </is>
      </c>
      <c r="D26" s="279" t="inlineStr">
        <is>
          <t>Кабель медный 220 кВ с системой термомониторинга сечение жилы 300 мм2, сечение экрана 265 мм2</t>
        </is>
      </c>
      <c r="E26" s="394" t="inlineStr">
        <is>
          <t>км</t>
        </is>
      </c>
      <c r="F26" s="394" t="n">
        <v>3.3</v>
      </c>
      <c r="G26" s="279" t="n">
        <v>1526996.35</v>
      </c>
      <c r="H26" s="284">
        <f>ROUND(F26*G26,2)</f>
        <v/>
      </c>
    </row>
    <row r="27">
      <c r="A27" s="282" t="n">
        <v>14</v>
      </c>
      <c r="B27" s="365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94" t="inlineStr">
        <is>
          <t>кг</t>
        </is>
      </c>
      <c r="F27" s="394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09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0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6" customWidth="1" style="325" min="7" max="7"/>
    <col width="9.140625" customWidth="1" style="325" min="8" max="10"/>
    <col width="13.5703125" customWidth="1" style="325" min="11" max="11"/>
    <col width="9.140625" customWidth="1" style="325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9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7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5">
      <c r="B7" s="356" t="inlineStr">
        <is>
          <t>Наименование разрабатываемого показателя УНЦ — КЛ 220 кВ с системой термомониторинга сечение жилы 300 мм2, сечение экрана 265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5" t="n"/>
      <c r="D9" s="305" t="n"/>
      <c r="E9" s="305" t="n"/>
    </row>
    <row r="10" ht="51" customHeight="1" s="32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9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6" workbookViewId="0">
      <selection activeCell="D54" sqref="D54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5" min="13" max="13"/>
  </cols>
  <sheetData>
    <row r="1" s="325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5">
      <c r="A2" s="306" t="n"/>
      <c r="B2" s="306" t="n"/>
      <c r="C2" s="306" t="n"/>
      <c r="D2" s="306" t="n"/>
      <c r="E2" s="306" t="n"/>
      <c r="F2" s="306" t="n"/>
      <c r="G2" s="306" t="n"/>
      <c r="H2" s="370" t="inlineStr">
        <is>
          <t>Приложение №5</t>
        </is>
      </c>
      <c r="K2" s="306" t="n"/>
      <c r="L2" s="306" t="n"/>
      <c r="M2" s="306" t="n"/>
      <c r="N2" s="306" t="n"/>
    </row>
    <row r="3" s="325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7" t="inlineStr">
        <is>
          <t>Расчет стоимости СМР и оборудования</t>
        </is>
      </c>
    </row>
    <row r="5" ht="12.75" customFormat="1" customHeight="1" s="305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КЛ 220 кВ с системой термомониторинга сечение жилы 300 мм2, сечение экрана 265 мм2</t>
        </is>
      </c>
    </row>
    <row r="7" ht="12.75" customFormat="1" customHeight="1" s="305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5">
      <c r="A8" s="350" t="n"/>
    </row>
    <row r="9" ht="13.15" customFormat="1" customHeight="1" s="305"/>
    <row r="10" ht="27" customHeight="1" s="325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1" t="n"/>
      <c r="K10" s="306" t="n"/>
      <c r="L10" s="306" t="n"/>
      <c r="M10" s="306" t="n"/>
      <c r="N10" s="306" t="n"/>
    </row>
    <row r="11" ht="28.5" customHeight="1" s="325">
      <c r="A11" s="443" t="n"/>
      <c r="B11" s="443" t="n"/>
      <c r="C11" s="443" t="n"/>
      <c r="D11" s="443" t="n"/>
      <c r="E11" s="443" t="n"/>
      <c r="F11" s="373" t="inlineStr">
        <is>
          <t>на ед. изм.</t>
        </is>
      </c>
      <c r="G11" s="373" t="inlineStr">
        <is>
          <t>общая</t>
        </is>
      </c>
      <c r="H11" s="443" t="n"/>
      <c r="I11" s="373" t="inlineStr">
        <is>
          <t>на ед. изм.</t>
        </is>
      </c>
      <c r="J11" s="373" t="inlineStr">
        <is>
          <t>общая</t>
        </is>
      </c>
      <c r="K11" s="306" t="n"/>
      <c r="L11" s="306" t="n"/>
      <c r="M11" s="306" t="n"/>
      <c r="N11" s="306" t="n"/>
    </row>
    <row r="12" s="325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06" t="n"/>
      <c r="L12" s="306" t="n"/>
      <c r="M12" s="306" t="n"/>
      <c r="N12" s="306" t="n"/>
    </row>
    <row r="13">
      <c r="A13" s="373" t="n"/>
      <c r="B13" s="363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5">
      <c r="A14" s="373" t="n">
        <v>1</v>
      </c>
      <c r="B14" s="269" t="inlineStr">
        <is>
          <t>1-4-0</t>
        </is>
      </c>
      <c r="C14" s="381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06">
      <c r="A16" s="373" t="n"/>
      <c r="B16" s="381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6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49" t="n">
        <v>75.5</v>
      </c>
      <c r="F17" s="207">
        <f>G17/E17</f>
        <v/>
      </c>
      <c r="G17" s="207">
        <f>'Прил. 3'!H12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3" t="n"/>
      <c r="B18" s="363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6">
      <c r="A19" s="373" t="n"/>
      <c r="B19" s="381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6">
      <c r="A20" s="373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94" t="inlineStr">
        <is>
          <t>маш.час</t>
        </is>
      </c>
      <c r="E20" s="450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3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94" t="inlineStr">
        <is>
          <t>маш.час</t>
        </is>
      </c>
      <c r="E21" s="450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3" t="n"/>
      <c r="B22" s="373" t="n"/>
      <c r="C22" s="381" t="inlineStr">
        <is>
          <t>Итого основные машины и механизмы</t>
        </is>
      </c>
      <c r="D22" s="373" t="n"/>
      <c r="E22" s="449" t="n"/>
      <c r="F22" s="207" t="n"/>
      <c r="G22" s="207">
        <f>SUM(G20:G21)</f>
        <v/>
      </c>
      <c r="H22" s="384">
        <f>G22/G32</f>
        <v/>
      </c>
      <c r="I22" s="201" t="n"/>
      <c r="J22" s="207">
        <f>SUM(J20:J21)</f>
        <v/>
      </c>
    </row>
    <row r="23" hidden="1" outlineLevel="1" ht="14.25" customFormat="1" customHeight="1" s="306">
      <c r="A23" s="373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94" t="inlineStr">
        <is>
          <t>маш.час</t>
        </is>
      </c>
      <c r="E23" s="450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6">
      <c r="A24" s="373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94" t="inlineStr">
        <is>
          <t>маш.час</t>
        </is>
      </c>
      <c r="E24" s="450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6">
      <c r="A25" s="373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94" t="inlineStr">
        <is>
          <t>маш.час</t>
        </is>
      </c>
      <c r="E25" s="450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6">
      <c r="A26" s="373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94" t="inlineStr">
        <is>
          <t>маш.час</t>
        </is>
      </c>
      <c r="E26" s="450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6">
      <c r="A27" s="373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94" t="inlineStr">
        <is>
          <t>маш.час</t>
        </is>
      </c>
      <c r="E27" s="450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6">
      <c r="A28" s="373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94" t="inlineStr">
        <is>
          <t>маш.час</t>
        </is>
      </c>
      <c r="E28" s="450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6">
      <c r="A29" s="373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94" t="inlineStr">
        <is>
          <t>маш.час</t>
        </is>
      </c>
      <c r="E29" s="450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6">
      <c r="A30" s="373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94" t="inlineStr">
        <is>
          <t>маш.час</t>
        </is>
      </c>
      <c r="E30" s="450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6">
      <c r="A31" s="373" t="n"/>
      <c r="B31" s="373" t="n"/>
      <c r="C31" s="381" t="inlineStr">
        <is>
          <t>Итого прочие машины и механизмы</t>
        </is>
      </c>
      <c r="D31" s="373" t="n"/>
      <c r="E31" s="382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6">
      <c r="A32" s="373" t="n"/>
      <c r="B32" s="373" t="n"/>
      <c r="C32" s="363" t="inlineStr">
        <is>
          <t>Итого по разделу «Машины и механизмы»</t>
        </is>
      </c>
      <c r="D32" s="373" t="n"/>
      <c r="E32" s="382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6">
      <c r="A33" s="373" t="n"/>
      <c r="B33" s="363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73" t="n"/>
      <c r="B34" s="381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6" t="n"/>
      <c r="L34" s="306" t="n"/>
    </row>
    <row r="35">
      <c r="A35" s="373" t="n"/>
      <c r="B35" s="373" t="n"/>
      <c r="C35" s="381" t="inlineStr">
        <is>
          <t>Итого основное оборудование</t>
        </is>
      </c>
      <c r="D35" s="373" t="n"/>
      <c r="E35" s="451" t="n"/>
      <c r="F35" s="383" t="n"/>
      <c r="G35" s="207" t="n">
        <v>0</v>
      </c>
      <c r="H35" s="209" t="n">
        <v>0</v>
      </c>
      <c r="I35" s="201" t="n"/>
      <c r="J35" s="207" t="n">
        <v>0</v>
      </c>
      <c r="K35" s="306" t="n"/>
      <c r="L35" s="306" t="n"/>
    </row>
    <row r="36">
      <c r="A36" s="373" t="n"/>
      <c r="B36" s="373" t="n"/>
      <c r="C36" s="381" t="inlineStr">
        <is>
          <t>Итого прочее оборудование</t>
        </is>
      </c>
      <c r="D36" s="373" t="n"/>
      <c r="E36" s="449" t="n"/>
      <c r="F36" s="383" t="n"/>
      <c r="G36" s="207" t="n">
        <v>0</v>
      </c>
      <c r="H36" s="209" t="n">
        <v>0</v>
      </c>
      <c r="I36" s="201" t="n"/>
      <c r="J36" s="207" t="n">
        <v>0</v>
      </c>
      <c r="K36" s="306" t="n"/>
      <c r="L36" s="306" t="n"/>
    </row>
    <row r="37">
      <c r="A37" s="373" t="n"/>
      <c r="B37" s="373" t="n"/>
      <c r="C37" s="363" t="inlineStr">
        <is>
          <t>Итого по разделу «Оборудование»</t>
        </is>
      </c>
      <c r="D37" s="373" t="n"/>
      <c r="E37" s="382" t="n"/>
      <c r="F37" s="383" t="n"/>
      <c r="G37" s="207">
        <f>G35+G36</f>
        <v/>
      </c>
      <c r="H37" s="209" t="n">
        <v>0</v>
      </c>
      <c r="I37" s="201" t="n"/>
      <c r="J37" s="207">
        <f>J36+J35</f>
        <v/>
      </c>
      <c r="K37" s="306" t="n"/>
      <c r="L37" s="306" t="n"/>
    </row>
    <row r="38" ht="25.5" customHeight="1" s="325">
      <c r="A38" s="373" t="n"/>
      <c r="B38" s="373" t="n"/>
      <c r="C38" s="381" t="inlineStr">
        <is>
          <t>в том числе технологическое оборудование</t>
        </is>
      </c>
      <c r="D38" s="373" t="n"/>
      <c r="E38" s="451" t="n"/>
      <c r="F38" s="383" t="n"/>
      <c r="G38" s="207">
        <f>'Прил.6 Расчет ОБ'!G12</f>
        <v/>
      </c>
      <c r="H38" s="384" t="n"/>
      <c r="I38" s="201" t="n"/>
      <c r="J38" s="207">
        <f>J37</f>
        <v/>
      </c>
      <c r="K38" s="306" t="n"/>
      <c r="L38" s="306" t="n"/>
    </row>
    <row r="39" ht="14.25" customFormat="1" customHeight="1" s="306">
      <c r="A39" s="373" t="n"/>
      <c r="B39" s="363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6">
      <c r="A40" s="374" t="n"/>
      <c r="B40" s="377" t="inlineStr">
        <is>
          <t>Основные материалы</t>
        </is>
      </c>
      <c r="C40" s="452" t="n"/>
      <c r="D40" s="452" t="n"/>
      <c r="E40" s="452" t="n"/>
      <c r="F40" s="452" t="n"/>
      <c r="G40" s="452" t="n"/>
      <c r="H40" s="453" t="n"/>
      <c r="I40" s="215" t="n"/>
      <c r="J40" s="215" t="n"/>
    </row>
    <row r="41" ht="38.25" customFormat="1" customHeight="1" s="306">
      <c r="A41" s="373" t="n">
        <v>13</v>
      </c>
      <c r="B41" s="373" t="inlineStr">
        <is>
          <t>БЦ.85.359</t>
        </is>
      </c>
      <c r="C41" s="273" t="inlineStr">
        <is>
          <t>Кабель медный 220 кВ с системой термомониторинга сечение жилы 300 мм2, сечение экрана 265 мм2</t>
        </is>
      </c>
      <c r="D41" s="373" t="inlineStr">
        <is>
          <t>км</t>
        </is>
      </c>
      <c r="E41" s="451">
        <f>1*3.3</f>
        <v/>
      </c>
      <c r="F41" s="383">
        <f>ROUND(I41/'Прил. 10'!$D$13,2)</f>
        <v/>
      </c>
      <c r="G41" s="207">
        <f>ROUND(E41*F41,2)</f>
        <v/>
      </c>
      <c r="H41" s="209">
        <f>G41/$G$45</f>
        <v/>
      </c>
      <c r="I41" s="207" t="n">
        <v>8097478.16</v>
      </c>
      <c r="J41" s="207">
        <f>ROUND(I41*E41,2)</f>
        <v/>
      </c>
    </row>
    <row r="42" ht="14.25" customFormat="1" customHeight="1" s="306">
      <c r="A42" s="375" t="n"/>
      <c r="B42" s="217" t="n"/>
      <c r="C42" s="218" t="inlineStr">
        <is>
          <t>Итого основные материалы</t>
        </is>
      </c>
      <c r="D42" s="375" t="n"/>
      <c r="E42" s="454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6">
      <c r="A43" s="373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94" t="inlineStr">
        <is>
          <t>кг</t>
        </is>
      </c>
      <c r="E43" s="450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6">
      <c r="A44" s="373" t="n"/>
      <c r="B44" s="373" t="n"/>
      <c r="C44" s="381" t="inlineStr">
        <is>
          <t>Итого прочие материалы</t>
        </is>
      </c>
      <c r="D44" s="373" t="n"/>
      <c r="E44" s="451" t="n"/>
      <c r="F44" s="383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6">
      <c r="A45" s="373" t="n"/>
      <c r="B45" s="373" t="n"/>
      <c r="C45" s="363" t="inlineStr">
        <is>
          <t>Итого по разделу «Материалы»</t>
        </is>
      </c>
      <c r="D45" s="373" t="n"/>
      <c r="E45" s="382" t="n"/>
      <c r="F45" s="383" t="n"/>
      <c r="G45" s="207">
        <f>G42+G44</f>
        <v/>
      </c>
      <c r="H45" s="384">
        <f>G45/$G$45</f>
        <v/>
      </c>
      <c r="I45" s="207" t="n"/>
      <c r="J45" s="207">
        <f>J42+J44</f>
        <v/>
      </c>
    </row>
    <row r="46" ht="14.25" customFormat="1" customHeight="1" s="306">
      <c r="A46" s="373" t="n"/>
      <c r="B46" s="373" t="n"/>
      <c r="C46" s="381" t="inlineStr">
        <is>
          <t>ИТОГО ПО РМ</t>
        </is>
      </c>
      <c r="D46" s="373" t="n"/>
      <c r="E46" s="382" t="n"/>
      <c r="F46" s="383" t="n"/>
      <c r="G46" s="207">
        <f>G15+G32+G45</f>
        <v/>
      </c>
      <c r="H46" s="384" t="n"/>
      <c r="I46" s="207" t="n"/>
      <c r="J46" s="207">
        <f>J15+J32+J45</f>
        <v/>
      </c>
    </row>
    <row r="47" ht="14.25" customFormat="1" customHeight="1" s="306">
      <c r="A47" s="373" t="n"/>
      <c r="B47" s="373" t="n"/>
      <c r="C47" s="381" t="inlineStr">
        <is>
          <t>Накладные расходы</t>
        </is>
      </c>
      <c r="D47" s="203">
        <f>ROUND(G47/(G$17+$G$15),2)</f>
        <v/>
      </c>
      <c r="E47" s="382" t="n"/>
      <c r="F47" s="383" t="n"/>
      <c r="G47" s="207" t="n">
        <v>10458.44</v>
      </c>
      <c r="H47" s="384" t="n"/>
      <c r="I47" s="207" t="n"/>
      <c r="J47" s="207">
        <f>ROUND(D47*(J15+J17),2)</f>
        <v/>
      </c>
    </row>
    <row r="48" ht="14.25" customFormat="1" customHeight="1" s="306">
      <c r="A48" s="373" t="n"/>
      <c r="B48" s="373" t="n"/>
      <c r="C48" s="381" t="inlineStr">
        <is>
          <t>Сметная прибыль</t>
        </is>
      </c>
      <c r="D48" s="203">
        <f>ROUND(G48/(G$15+G$17),2)</f>
        <v/>
      </c>
      <c r="E48" s="382" t="n"/>
      <c r="F48" s="383" t="n"/>
      <c r="G48" s="207" t="n">
        <v>5498.77</v>
      </c>
      <c r="H48" s="384" t="n"/>
      <c r="I48" s="207" t="n"/>
      <c r="J48" s="207">
        <f>ROUND(D48*(J15+J17),2)</f>
        <v/>
      </c>
    </row>
    <row r="49" ht="14.25" customFormat="1" customHeight="1" s="306">
      <c r="A49" s="373" t="n"/>
      <c r="B49" s="373" t="n"/>
      <c r="C49" s="381" t="inlineStr">
        <is>
          <t>Итого СМР (с НР и СП)</t>
        </is>
      </c>
      <c r="D49" s="373" t="n"/>
      <c r="E49" s="382" t="n"/>
      <c r="F49" s="383" t="n"/>
      <c r="G49" s="207">
        <f>G15+G32+G45+G47+G48</f>
        <v/>
      </c>
      <c r="H49" s="384" t="n"/>
      <c r="I49" s="207" t="n"/>
      <c r="J49" s="207">
        <f>J15+J32+J45+J47+J48</f>
        <v/>
      </c>
    </row>
    <row r="50" ht="14.25" customFormat="1" customHeight="1" s="306">
      <c r="A50" s="373" t="n"/>
      <c r="B50" s="373" t="n"/>
      <c r="C50" s="381" t="inlineStr">
        <is>
          <t>ВСЕГО СМР + ОБОРУДОВАНИЕ</t>
        </is>
      </c>
      <c r="D50" s="373" t="n"/>
      <c r="E50" s="382" t="n"/>
      <c r="F50" s="383" t="n"/>
      <c r="G50" s="207">
        <f>G49+G37</f>
        <v/>
      </c>
      <c r="H50" s="384" t="n"/>
      <c r="I50" s="207" t="n"/>
      <c r="J50" s="207">
        <f>J49+J37</f>
        <v/>
      </c>
    </row>
    <row r="51" ht="14.25" customFormat="1" customHeight="1" s="306">
      <c r="A51" s="373" t="n"/>
      <c r="B51" s="373" t="n"/>
      <c r="C51" s="381" t="inlineStr">
        <is>
          <t>ИТОГО ПОКАЗАТЕЛЬ НА ЕД. ИЗМ.</t>
        </is>
      </c>
      <c r="D51" s="373" t="inlineStr">
        <is>
          <t>1 км</t>
        </is>
      </c>
      <c r="E51" s="451" t="n">
        <v>1</v>
      </c>
      <c r="F51" s="383" t="n"/>
      <c r="G51" s="207">
        <f>G50/E51</f>
        <v/>
      </c>
      <c r="H51" s="384" t="n"/>
      <c r="I51" s="207" t="n"/>
      <c r="J51" s="207">
        <f>J50/E51</f>
        <v/>
      </c>
    </row>
    <row r="53" ht="14.25" customFormat="1" customHeight="1" s="306">
      <c r="A53" s="305" t="inlineStr">
        <is>
          <t>Составил ______________________    А.Р. Маркова</t>
        </is>
      </c>
    </row>
    <row r="54" ht="14.25" customFormat="1" customHeight="1" s="306">
      <c r="A54" s="308" t="inlineStr">
        <is>
          <t xml:space="preserve">                         (подпись, инициалы, фамилия)</t>
        </is>
      </c>
    </row>
    <row r="55" ht="14.25" customFormat="1" customHeight="1" s="306">
      <c r="A55" s="305" t="n"/>
    </row>
    <row r="56" ht="14.25" customFormat="1" customHeight="1" s="306">
      <c r="A56" s="305" t="inlineStr">
        <is>
          <t>Проверил ______________________        А.В. Костянецкая</t>
        </is>
      </c>
    </row>
    <row r="57" ht="14.25" customFormat="1" customHeight="1" s="306">
      <c r="A57" s="30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6" sqref="D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с системой термомониторинга сечение жилы 300 мм2, сечение экрана 265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5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5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9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5">
      <c r="A11" s="362" t="inlineStr">
        <is>
          <t>К4-03-2</t>
        </is>
      </c>
      <c r="B11" s="362" t="inlineStr">
        <is>
          <t xml:space="preserve">УНЦ КЛ 110 - 500 кВ с системой термомониторинга  </t>
        </is>
      </c>
      <c r="C11" s="303">
        <f>D5</f>
        <v/>
      </c>
      <c r="D11" s="333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5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5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2025-01-24T12:08:16Z</dcterms:modified>
  <cp:lastModifiedBy>User4</cp:lastModifiedBy>
  <cp:lastPrinted>2023-11-28T09:20:44Z</cp:lastPrinted>
</cp:coreProperties>
</file>