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D29" sqref="D29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400 мм2, сечение экрана 280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400 мм2, сечение экрана 280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стоим'!F13+'Прил.2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31.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47.25" customHeight="1" s="325">
      <c r="B12" s="311" t="n">
        <v>1</v>
      </c>
      <c r="C12" s="340">
        <f>'Прил.1 Сравнит табл'!D16</f>
        <v/>
      </c>
      <c r="D12" s="313" t="inlineStr">
        <is>
          <t>02-08-01</t>
        </is>
      </c>
      <c r="E12" s="314" t="inlineStr">
        <is>
          <t>Заходы КЛ 220 кВ</t>
        </is>
      </c>
      <c r="F12" s="315" t="n">
        <v>6420.24</v>
      </c>
      <c r="G12" s="315" t="n">
        <v>25190.8288694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7" zoomScale="85" workbookViewId="0">
      <selection activeCell="O14" sqref="O14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58" t="n"/>
    </row>
    <row r="4">
      <c r="A4" s="353" t="n"/>
    </row>
    <row r="5">
      <c r="A5" s="357" t="inlineStr">
        <is>
          <t>Наименование разрабатываемого показателя УНЦ -  КЛ 220 кВ с системой термомониторинга сечение жилы 400 мм2, сечение экрана 280 мм2</t>
        </is>
      </c>
    </row>
    <row r="6">
      <c r="A6" s="357" t="n"/>
      <c r="B6" s="357" t="n"/>
      <c r="C6" s="357" t="n"/>
      <c r="D6" s="357" t="n"/>
      <c r="E6" s="357" t="n"/>
      <c r="F6" s="357" t="n"/>
      <c r="G6" s="357" t="n"/>
      <c r="H6" s="357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 ht="40.5" customHeight="1" s="325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60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70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9" t="inlineStr">
        <is>
          <t>Затраты труда машинистов</t>
        </is>
      </c>
      <c r="B12" s="442" t="n"/>
      <c r="C12" s="442" t="n"/>
      <c r="D12" s="442" t="n"/>
      <c r="E12" s="443" t="n"/>
      <c r="F12" s="360" t="n"/>
      <c r="G12" s="239" t="n"/>
      <c r="H12" s="447">
        <f>H13</f>
        <v/>
      </c>
    </row>
    <row r="13">
      <c r="A13" s="388" t="n">
        <v>2</v>
      </c>
      <c r="B13" s="361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60" t="inlineStr">
        <is>
          <t>Машины и механизмы</t>
        </is>
      </c>
      <c r="B14" s="442" t="n"/>
      <c r="C14" s="442" t="n"/>
      <c r="D14" s="442" t="n"/>
      <c r="E14" s="443" t="n"/>
      <c r="F14" s="360" t="n"/>
      <c r="G14" s="239" t="n"/>
      <c r="H14" s="447">
        <f>SUM(H15:H24)</f>
        <v/>
      </c>
    </row>
    <row r="15" ht="25.5" customHeight="1" s="325">
      <c r="A15" s="388" t="n">
        <v>3</v>
      </c>
      <c r="B15" s="361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61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61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61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61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61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61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61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61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61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60" t="inlineStr">
        <is>
          <t>Материалы</t>
        </is>
      </c>
      <c r="B25" s="442" t="n"/>
      <c r="C25" s="442" t="n"/>
      <c r="D25" s="442" t="n"/>
      <c r="E25" s="443" t="n"/>
      <c r="F25" s="360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400 мм2, сечение экрана 280 мм2</t>
        </is>
      </c>
      <c r="E26" s="388" t="inlineStr">
        <is>
          <t>км</t>
        </is>
      </c>
      <c r="F26" s="388" t="n">
        <v>3.3</v>
      </c>
      <c r="G26" s="279" t="n">
        <v>1714854.16</v>
      </c>
      <c r="H26" s="284">
        <f>ROUND(F26*G26,2)</f>
        <v/>
      </c>
    </row>
    <row r="27">
      <c r="A27" s="282" t="n">
        <v>14</v>
      </c>
      <c r="B27" s="361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400 мм2, сечение экрана 280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8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220 кВ с системой термомониторинга сечение жилы 400 мм2, сечение экрана 280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3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70" t="inlineStr">
        <is>
          <t>на ед. изм.</t>
        </is>
      </c>
      <c r="G11" s="370" t="inlineStr">
        <is>
          <t>общая</t>
        </is>
      </c>
      <c r="H11" s="445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70" t="n"/>
      <c r="B13" s="359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70" t="n">
        <v>1</v>
      </c>
      <c r="B14" s="269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5">
      <c r="A16" s="370" t="n"/>
      <c r="B16" s="369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0" t="n"/>
      <c r="B18" s="359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70" t="n"/>
      <c r="B19" s="369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70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0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07" t="n"/>
      <c r="G22" s="207">
        <f>SUM(G20:G21)</f>
        <v/>
      </c>
      <c r="H22" s="373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70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70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70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70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70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70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70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70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70" t="n"/>
      <c r="B32" s="370" t="n"/>
      <c r="C32" s="359" t="inlineStr">
        <is>
          <t>Итого по разделу «Машины и механизмы»</t>
        </is>
      </c>
      <c r="D32" s="370" t="n"/>
      <c r="E32" s="371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70" t="n"/>
      <c r="B33" s="359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70" t="n"/>
      <c r="B34" s="369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70" t="n"/>
      <c r="B35" s="370" t="n"/>
      <c r="C35" s="369" t="inlineStr">
        <is>
          <t>Итого основное оборудование</t>
        </is>
      </c>
      <c r="D35" s="370" t="n"/>
      <c r="E35" s="453" t="n"/>
      <c r="F35" s="372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0" t="n"/>
      <c r="B36" s="370" t="n"/>
      <c r="C36" s="369" t="inlineStr">
        <is>
          <t>Итого прочее оборудование</t>
        </is>
      </c>
      <c r="D36" s="370" t="n"/>
      <c r="E36" s="451" t="n"/>
      <c r="F36" s="372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70" t="n"/>
      <c r="B37" s="370" t="n"/>
      <c r="C37" s="359" t="inlineStr">
        <is>
          <t>Итого по разделу «Оборудование»</t>
        </is>
      </c>
      <c r="D37" s="370" t="n"/>
      <c r="E37" s="371" t="n"/>
      <c r="F37" s="372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70" t="n"/>
      <c r="B38" s="370" t="n"/>
      <c r="C38" s="369" t="inlineStr">
        <is>
          <t>в том числе технологическое оборудование</t>
        </is>
      </c>
      <c r="D38" s="370" t="n"/>
      <c r="E38" s="453" t="n"/>
      <c r="F38" s="372" t="n"/>
      <c r="G38" s="207">
        <f>'Прил.6 Расчет ОБ'!G12</f>
        <v/>
      </c>
      <c r="H38" s="373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70" t="n"/>
      <c r="B39" s="359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5" t="n"/>
      <c r="B40" s="364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70" t="n">
        <v>13</v>
      </c>
      <c r="B41" s="370" t="inlineStr">
        <is>
          <t>БЦ.85.361</t>
        </is>
      </c>
      <c r="C41" s="273" t="inlineStr">
        <is>
          <t>Кабель медный 220 кВ с системой термомониторинга сечение жилы 400 мм2, сечение экрана 280 мм2</t>
        </is>
      </c>
      <c r="D41" s="370" t="inlineStr">
        <is>
          <t>км</t>
        </is>
      </c>
      <c r="E41" s="453">
        <f>1*3.3</f>
        <v/>
      </c>
      <c r="F41" s="372">
        <f>ROUND(I41/'Прил. 10'!$D$13,2)</f>
        <v/>
      </c>
      <c r="G41" s="207">
        <f>ROUND(E41*F41,2)</f>
        <v/>
      </c>
      <c r="H41" s="209">
        <f>G41/$G$45</f>
        <v/>
      </c>
      <c r="I41" s="207" t="n">
        <v>9093665.59</v>
      </c>
      <c r="J41" s="207">
        <f>ROUND(I41*E41,2)</f>
        <v/>
      </c>
    </row>
    <row r="42" ht="14.25" customFormat="1" customHeight="1" s="305">
      <c r="A42" s="381" t="n"/>
      <c r="B42" s="217" t="n"/>
      <c r="C42" s="218" t="inlineStr">
        <is>
          <t>Итого основные материалы</t>
        </is>
      </c>
      <c r="D42" s="381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70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70" t="n"/>
      <c r="B44" s="370" t="n"/>
      <c r="C44" s="369" t="inlineStr">
        <is>
          <t>Итого прочие материалы</t>
        </is>
      </c>
      <c r="D44" s="370" t="n"/>
      <c r="E44" s="453" t="n"/>
      <c r="F44" s="372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70" t="n"/>
      <c r="B45" s="370" t="n"/>
      <c r="C45" s="359" t="inlineStr">
        <is>
          <t>Итого по разделу «Материалы»</t>
        </is>
      </c>
      <c r="D45" s="370" t="n"/>
      <c r="E45" s="371" t="n"/>
      <c r="F45" s="372" t="n"/>
      <c r="G45" s="207">
        <f>G42+G44</f>
        <v/>
      </c>
      <c r="H45" s="373">
        <f>G45/$G$45</f>
        <v/>
      </c>
      <c r="I45" s="207" t="n"/>
      <c r="J45" s="207">
        <f>J42+J44</f>
        <v/>
      </c>
    </row>
    <row r="46" ht="14.25" customFormat="1" customHeight="1" s="305">
      <c r="A46" s="370" t="n"/>
      <c r="B46" s="370" t="n"/>
      <c r="C46" s="369" t="inlineStr">
        <is>
          <t>ИТОГО ПО РМ</t>
        </is>
      </c>
      <c r="D46" s="370" t="n"/>
      <c r="E46" s="371" t="n"/>
      <c r="F46" s="372" t="n"/>
      <c r="G46" s="207">
        <f>G15+G32+G45</f>
        <v/>
      </c>
      <c r="H46" s="373" t="n"/>
      <c r="I46" s="207" t="n"/>
      <c r="J46" s="207">
        <f>J15+J32+J45</f>
        <v/>
      </c>
    </row>
    <row r="47" ht="14.25" customFormat="1" customHeight="1" s="305">
      <c r="A47" s="370" t="n"/>
      <c r="B47" s="370" t="n"/>
      <c r="C47" s="369" t="inlineStr">
        <is>
          <t>Накладные расходы</t>
        </is>
      </c>
      <c r="D47" s="203">
        <f>ROUND(G47/(G$17+$G$15),2)</f>
        <v/>
      </c>
      <c r="E47" s="371" t="n"/>
      <c r="F47" s="372" t="n"/>
      <c r="G47" s="207" t="n">
        <v>10458.44</v>
      </c>
      <c r="H47" s="373" t="n"/>
      <c r="I47" s="207" t="n"/>
      <c r="J47" s="207">
        <f>ROUND(D47*(J15+J17),2)</f>
        <v/>
      </c>
    </row>
    <row r="48" ht="14.25" customFormat="1" customHeight="1" s="305">
      <c r="A48" s="370" t="n"/>
      <c r="B48" s="370" t="n"/>
      <c r="C48" s="369" t="inlineStr">
        <is>
          <t>Сметная прибыль</t>
        </is>
      </c>
      <c r="D48" s="203">
        <f>ROUND(G48/(G$15+G$17),2)</f>
        <v/>
      </c>
      <c r="E48" s="371" t="n"/>
      <c r="F48" s="372" t="n"/>
      <c r="G48" s="207" t="n">
        <v>5498.77</v>
      </c>
      <c r="H48" s="373" t="n"/>
      <c r="I48" s="207" t="n"/>
      <c r="J48" s="207">
        <f>ROUND(D48*(J15+J17),2)</f>
        <v/>
      </c>
    </row>
    <row r="49" ht="14.25" customFormat="1" customHeight="1" s="305">
      <c r="A49" s="370" t="n"/>
      <c r="B49" s="370" t="n"/>
      <c r="C49" s="369" t="inlineStr">
        <is>
          <t>Итого СМР (с НР и СП)</t>
        </is>
      </c>
      <c r="D49" s="370" t="n"/>
      <c r="E49" s="371" t="n"/>
      <c r="F49" s="372" t="n"/>
      <c r="G49" s="207">
        <f>G15+G32+G45+G47+G48</f>
        <v/>
      </c>
      <c r="H49" s="373" t="n"/>
      <c r="I49" s="207" t="n"/>
      <c r="J49" s="207">
        <f>J15+J32+J45+J47+J48</f>
        <v/>
      </c>
    </row>
    <row r="50" ht="14.25" customFormat="1" customHeight="1" s="305">
      <c r="A50" s="370" t="n"/>
      <c r="B50" s="370" t="n"/>
      <c r="C50" s="369" t="inlineStr">
        <is>
          <t>ВСЕГО СМР + ОБОРУДОВАНИЕ</t>
        </is>
      </c>
      <c r="D50" s="370" t="n"/>
      <c r="E50" s="371" t="n"/>
      <c r="F50" s="372" t="n"/>
      <c r="G50" s="207">
        <f>G49+G37</f>
        <v/>
      </c>
      <c r="H50" s="373" t="n"/>
      <c r="I50" s="207" t="n"/>
      <c r="J50" s="207">
        <f>J49+J37</f>
        <v/>
      </c>
    </row>
    <row r="51" ht="34.5" customFormat="1" customHeight="1" s="305">
      <c r="A51" s="370" t="n"/>
      <c r="B51" s="370" t="n"/>
      <c r="C51" s="369" t="inlineStr">
        <is>
          <t>ИТОГО ПОКАЗАТЕЛЬ НА ЕД. ИЗМ.</t>
        </is>
      </c>
      <c r="D51" s="370" t="inlineStr">
        <is>
          <t>1 км</t>
        </is>
      </c>
      <c r="E51" s="453" t="n">
        <v>1</v>
      </c>
      <c r="F51" s="372" t="n"/>
      <c r="G51" s="207">
        <f>G50/E51</f>
        <v/>
      </c>
      <c r="H51" s="373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400 мм2, сечение экрана 280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К4-04-2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29" sqref="G29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2025-01-24T12:08:19Z</dcterms:modified>
  <cp:lastModifiedBy>User4</cp:lastModifiedBy>
  <cp:lastPrinted>2023-11-28T09:34:09Z</cp:lastPrinted>
</cp:coreProperties>
</file>