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1000 мм2, сечение экрана 95 мм2</t>
        </is>
      </c>
    </row>
    <row r="8" ht="31.7" customHeight="1" s="322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1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1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1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1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1000 мм2, сечение экрана 95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5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18">
        <f>'Прил.2 Расч стоим'!F13+'Прил.2 Расч стоим'!G13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18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1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8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19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>
      <c r="B25" s="353" t="n">
        <v>10</v>
      </c>
      <c r="C25" s="311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20" t="n"/>
    </row>
    <row r="28">
      <c r="B28" s="324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16.5703125" customWidth="1" style="324" min="12" max="12"/>
  </cols>
  <sheetData>
    <row r="3">
      <c r="B3" s="348" t="inlineStr">
        <is>
          <t>Приложение № 2</t>
        </is>
      </c>
      <c r="K3" s="320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08" t="n">
        <v>1</v>
      </c>
      <c r="C12" s="337">
        <f>'Прил.1 Сравнит табл'!D16</f>
        <v/>
      </c>
      <c r="D12" s="310" t="inlineStr">
        <is>
          <t>02-04-01</t>
        </is>
      </c>
      <c r="E12" s="311" t="inlineStr">
        <is>
          <t>Строительно-монтажные работы КЛ-110кВ Шушары</t>
        </is>
      </c>
      <c r="F12" s="312" t="n">
        <v>2105.5201</v>
      </c>
      <c r="G12" s="312" t="n">
        <v>41616.7346202</v>
      </c>
      <c r="H12" s="312" t="n"/>
      <c r="I12" s="312" t="n"/>
      <c r="J12" s="313">
        <f>SUM(F12:I12)</f>
        <v/>
      </c>
      <c r="K12" s="443" t="n"/>
      <c r="L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16">
        <f>SUM(F12:F12)</f>
        <v/>
      </c>
      <c r="G13" s="316">
        <f>SUM(G12:G12)</f>
        <v/>
      </c>
      <c r="H13" s="316">
        <f>SUM(H12:H12)</f>
        <v/>
      </c>
      <c r="I13" s="316" t="n"/>
      <c r="J13" s="316">
        <f>SUM(F13:I13)</f>
        <v/>
      </c>
      <c r="K13" s="317" t="n"/>
      <c r="L13" s="443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16">
        <f>F13</f>
        <v/>
      </c>
      <c r="G14" s="316">
        <f>G13</f>
        <v/>
      </c>
      <c r="H14" s="316">
        <f>H13</f>
        <v/>
      </c>
      <c r="I14" s="316">
        <f>'Прил.1 Сравнит табл'!D21</f>
        <v/>
      </c>
      <c r="J14" s="316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16" workbookViewId="0">
      <selection activeCell="D45" sqref="D45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9" t="n"/>
    </row>
    <row r="4">
      <c r="A4" s="350" t="n"/>
    </row>
    <row r="5">
      <c r="A5" s="358" t="inlineStr">
        <is>
          <t>Наименование разрабатываемого показателя УНЦ -  КЛ 110 кВ с системой термомониторинга сечение жилы 1000 мм2, сечение экрана 95 мм2</t>
        </is>
      </c>
    </row>
    <row r="6">
      <c r="A6" s="358" t="n"/>
      <c r="B6" s="358" t="n"/>
      <c r="C6" s="358" t="n"/>
      <c r="D6" s="358" t="n"/>
      <c r="E6" s="358" t="n"/>
      <c r="F6" s="358" t="n"/>
      <c r="G6" s="358" t="n"/>
      <c r="H6" s="358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5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4" t="n">
        <v>592</v>
      </c>
      <c r="G11" s="445" t="n">
        <v>9.619999999999999</v>
      </c>
      <c r="H11" s="281">
        <f>ROUND(F11*G11,2)</f>
        <v/>
      </c>
    </row>
    <row r="12">
      <c r="A12" s="354" t="inlineStr">
        <is>
          <t>Затраты труда машинистов</t>
        </is>
      </c>
      <c r="B12" s="439" t="n"/>
      <c r="C12" s="439" t="n"/>
      <c r="D12" s="439" t="n"/>
      <c r="E12" s="440" t="n"/>
      <c r="F12" s="355" t="n"/>
      <c r="G12" s="239" t="n"/>
      <c r="H12" s="444">
        <f>H13</f>
        <v/>
      </c>
    </row>
    <row r="13">
      <c r="A13" s="385" t="n">
        <v>2</v>
      </c>
      <c r="B13" s="356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5" t="inlineStr">
        <is>
          <t>Машины и механизмы</t>
        </is>
      </c>
      <c r="B14" s="439" t="n"/>
      <c r="C14" s="439" t="n"/>
      <c r="D14" s="439" t="n"/>
      <c r="E14" s="440" t="n"/>
      <c r="F14" s="355" t="n"/>
      <c r="G14" s="239" t="n"/>
      <c r="H14" s="444">
        <f>SUM(H15:H24)</f>
        <v/>
      </c>
    </row>
    <row r="15">
      <c r="A15" s="385" t="n">
        <v>3</v>
      </c>
      <c r="B15" s="356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6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6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6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6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6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6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6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6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6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5" t="inlineStr">
        <is>
          <t>Материалы</t>
        </is>
      </c>
      <c r="B25" s="439" t="n"/>
      <c r="C25" s="439" t="n"/>
      <c r="D25" s="439" t="n"/>
      <c r="E25" s="440" t="n"/>
      <c r="F25" s="355" t="n"/>
      <c r="G25" s="239" t="n"/>
      <c r="H25" s="444">
        <f>SUM(H26:H27)</f>
        <v/>
      </c>
    </row>
    <row r="26">
      <c r="A26" s="288" t="n">
        <v>13</v>
      </c>
      <c r="B26" s="356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6" t="n"/>
      <c r="C27" s="364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1000 мм2, сечение экрана 95 мм2</t>
        </is>
      </c>
      <c r="E27" s="385" t="inlineStr">
        <is>
          <t>км</t>
        </is>
      </c>
      <c r="F27" s="385" t="n">
        <v>3.3</v>
      </c>
      <c r="G27" s="281" t="n">
        <v>2525590.13</v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20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20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tabSelected="1" view="pageBreakPreview" topLeftCell="A34" workbookViewId="0">
      <selection activeCell="E34" sqref="E3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9.140625" customWidth="1" style="322" min="7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1000 мм2, сечение экрана 95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7" workbookViewId="0">
      <selection activeCell="E54" sqref="E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61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67" t="inlineStr">
        <is>
          <t>КЛ 110 кВ с системой термомониторинга сечение жилы 1000 мм2, сечение экрана 95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4" t="inlineStr">
        <is>
          <t>№ пп.</t>
        </is>
      </c>
      <c r="B10" s="364" t="inlineStr">
        <is>
          <t>Код ресурса</t>
        </is>
      </c>
      <c r="C10" s="364" t="inlineStr">
        <is>
          <t>Наименование</t>
        </is>
      </c>
      <c r="D10" s="364" t="inlineStr">
        <is>
          <t>Ед. изм.</t>
        </is>
      </c>
      <c r="E10" s="364" t="inlineStr">
        <is>
          <t>Кол-во единиц по проектным данным</t>
        </is>
      </c>
      <c r="F10" s="364" t="inlineStr">
        <is>
          <t>Сметная стоимость в ценах на 01.01.2000 (руб.)</t>
        </is>
      </c>
      <c r="G10" s="440" t="n"/>
      <c r="H10" s="364" t="inlineStr">
        <is>
          <t>Удельный вес, %</t>
        </is>
      </c>
      <c r="I10" s="364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4" t="inlineStr">
        <is>
          <t>на ед. изм.</t>
        </is>
      </c>
      <c r="G11" s="364" t="inlineStr">
        <is>
          <t>общая</t>
        </is>
      </c>
      <c r="H11" s="442" t="n"/>
      <c r="I11" s="364" t="inlineStr">
        <is>
          <t>на ед. изм.</t>
        </is>
      </c>
      <c r="J11" s="364" t="inlineStr">
        <is>
          <t>общая</t>
        </is>
      </c>
      <c r="K11" s="304" t="n"/>
      <c r="L11" s="304" t="n"/>
      <c r="M11" s="304" t="n"/>
      <c r="N11" s="304" t="n"/>
    </row>
    <row r="12" s="322">
      <c r="A12" s="364" t="n">
        <v>1</v>
      </c>
      <c r="B12" s="364" t="n">
        <v>2</v>
      </c>
      <c r="C12" s="364" t="n">
        <v>3</v>
      </c>
      <c r="D12" s="364" t="n">
        <v>4</v>
      </c>
      <c r="E12" s="364" t="n">
        <v>5</v>
      </c>
      <c r="F12" s="364" t="n">
        <v>6</v>
      </c>
      <c r="G12" s="364" t="n">
        <v>7</v>
      </c>
      <c r="H12" s="364" t="n">
        <v>8</v>
      </c>
      <c r="I12" s="365" t="n">
        <v>9</v>
      </c>
      <c r="J12" s="365" t="n">
        <v>10</v>
      </c>
      <c r="K12" s="304" t="n"/>
      <c r="L12" s="304" t="n"/>
      <c r="M12" s="304" t="n"/>
      <c r="N12" s="304" t="n"/>
    </row>
    <row r="13">
      <c r="A13" s="364" t="n"/>
      <c r="B13" s="354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4" t="n">
        <v>1</v>
      </c>
      <c r="B14" s="270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64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4" t="n"/>
      <c r="B15" s="364" t="n"/>
      <c r="C15" s="354" t="inlineStr">
        <is>
          <t>Итого по разделу "Затраты труда рабочих-строителей"</t>
        </is>
      </c>
      <c r="D15" s="364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5" t="n">
        <v>1</v>
      </c>
      <c r="I15" s="200" t="n"/>
      <c r="J15" s="282">
        <f>SUM(J14:J14)</f>
        <v/>
      </c>
    </row>
    <row r="16" ht="14.25" customFormat="1" customHeight="1" s="304">
      <c r="A16" s="364" t="n"/>
      <c r="B16" s="372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4" t="n">
        <v>2</v>
      </c>
      <c r="B17" s="364" t="n">
        <v>2</v>
      </c>
      <c r="C17" s="372" t="inlineStr">
        <is>
          <t>Затраты труда машинистов</t>
        </is>
      </c>
      <c r="D17" s="364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5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4" t="n"/>
      <c r="B18" s="354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4" t="n"/>
      <c r="B19" s="372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4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4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4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4" t="n"/>
      <c r="B23" s="364" t="n"/>
      <c r="C23" s="372" t="inlineStr">
        <is>
          <t>Итого основные машины и механизмы</t>
        </is>
      </c>
      <c r="D23" s="364" t="n"/>
      <c r="E23" s="448" t="n"/>
      <c r="F23" s="282" t="n"/>
      <c r="G23" s="282">
        <f>SUM(G20:G22)</f>
        <v/>
      </c>
      <c r="H23" s="375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4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4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4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4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4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4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4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4" t="n"/>
      <c r="B31" s="364" t="n"/>
      <c r="C31" s="372" t="inlineStr">
        <is>
          <t>Итого прочие машины и механизмы</t>
        </is>
      </c>
      <c r="D31" s="364" t="n"/>
      <c r="E31" s="373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4" t="n"/>
      <c r="B32" s="364" t="n"/>
      <c r="C32" s="354" t="inlineStr">
        <is>
          <t>Итого по разделу «Машины и механизмы»</t>
        </is>
      </c>
      <c r="D32" s="364" t="n"/>
      <c r="E32" s="373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4" t="n"/>
      <c r="B33" s="354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4" t="n"/>
      <c r="B34" s="372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4" t="n"/>
      <c r="B35" s="364" t="n"/>
      <c r="C35" s="372" t="inlineStr">
        <is>
          <t>Итого основное оборудование</t>
        </is>
      </c>
      <c r="D35" s="364" t="n"/>
      <c r="E35" s="448" t="n"/>
      <c r="F35" s="374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4" t="n"/>
      <c r="B36" s="364" t="n"/>
      <c r="C36" s="372" t="inlineStr">
        <is>
          <t>Итого прочее оборудование</t>
        </is>
      </c>
      <c r="D36" s="364" t="n"/>
      <c r="E36" s="446" t="n"/>
      <c r="F36" s="374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4" t="n"/>
      <c r="B37" s="364" t="n"/>
      <c r="C37" s="354" t="inlineStr">
        <is>
          <t>Итого по разделу «Оборудование»</t>
        </is>
      </c>
      <c r="D37" s="364" t="n"/>
      <c r="E37" s="373" t="n"/>
      <c r="F37" s="374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4" t="n"/>
      <c r="B38" s="364" t="n"/>
      <c r="C38" s="372" t="inlineStr">
        <is>
          <t>в том числе технологическое оборудование</t>
        </is>
      </c>
      <c r="D38" s="364" t="n"/>
      <c r="E38" s="448" t="n"/>
      <c r="F38" s="374" t="n"/>
      <c r="G38" s="282">
        <f>'Прил.6 Расчет ОБ'!G12</f>
        <v/>
      </c>
      <c r="H38" s="375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4" t="n"/>
      <c r="B39" s="354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5" t="n"/>
      <c r="B40" s="368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4" t="n">
        <v>13</v>
      </c>
      <c r="B41" s="364" t="inlineStr">
        <is>
          <t>БЦ.85.370</t>
        </is>
      </c>
      <c r="C41" s="277" t="inlineStr">
        <is>
          <t>Кабель медный 110(150)кВ с системой термомониторинга сечение жилы 1000 мм2, сечение экрана 95 мм2</t>
        </is>
      </c>
      <c r="D41" s="364" t="inlineStr">
        <is>
          <t>км</t>
        </is>
      </c>
      <c r="E41" s="448">
        <f>1*3.3</f>
        <v/>
      </c>
      <c r="F41" s="374">
        <f>ROUND(I41/'Прил. 10'!$D$13,2)</f>
        <v/>
      </c>
      <c r="G41" s="282">
        <f>ROUND(E41*F41,2)</f>
        <v/>
      </c>
      <c r="H41" s="209">
        <f>G41/$G$45</f>
        <v/>
      </c>
      <c r="I41" s="282" t="n">
        <v>13680920.4</v>
      </c>
      <c r="J41" s="282">
        <f>ROUND(I41*E41,2)</f>
        <v/>
      </c>
    </row>
    <row r="42" ht="14.25" customFormat="1" customHeight="1" s="304">
      <c r="A42" s="366" t="n"/>
      <c r="B42" s="217" t="n"/>
      <c r="C42" s="218" t="inlineStr">
        <is>
          <t>Итого основные материалы</t>
        </is>
      </c>
      <c r="D42" s="366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4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4" t="n"/>
      <c r="B44" s="364" t="n"/>
      <c r="C44" s="372" t="inlineStr">
        <is>
          <t>Итого прочие материалы</t>
        </is>
      </c>
      <c r="D44" s="364" t="n"/>
      <c r="E44" s="448" t="n"/>
      <c r="F44" s="374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4" t="n"/>
      <c r="B45" s="364" t="n"/>
      <c r="C45" s="354" t="inlineStr">
        <is>
          <t>Итого по разделу «Материалы»</t>
        </is>
      </c>
      <c r="D45" s="364" t="n"/>
      <c r="E45" s="373" t="n"/>
      <c r="F45" s="374" t="n"/>
      <c r="G45" s="282">
        <f>G42+G44</f>
        <v/>
      </c>
      <c r="H45" s="375">
        <f>G45/$G$45</f>
        <v/>
      </c>
      <c r="I45" s="282" t="n"/>
      <c r="J45" s="282">
        <f>J42+J44</f>
        <v/>
      </c>
    </row>
    <row r="46" ht="14.25" customFormat="1" customHeight="1" s="304">
      <c r="A46" s="364" t="n"/>
      <c r="B46" s="364" t="n"/>
      <c r="C46" s="372" t="inlineStr">
        <is>
          <t>ИТОГО ПО РМ</t>
        </is>
      </c>
      <c r="D46" s="364" t="n"/>
      <c r="E46" s="373" t="n"/>
      <c r="F46" s="374" t="n"/>
      <c r="G46" s="282">
        <f>G15+G32+G45</f>
        <v/>
      </c>
      <c r="H46" s="375" t="n"/>
      <c r="I46" s="282" t="n"/>
      <c r="J46" s="282">
        <f>J15+J32+J45</f>
        <v/>
      </c>
    </row>
    <row r="47" ht="14.25" customFormat="1" customHeight="1" s="304">
      <c r="A47" s="364" t="n"/>
      <c r="B47" s="364" t="n"/>
      <c r="C47" s="372" t="inlineStr">
        <is>
          <t>Накладные расходы</t>
        </is>
      </c>
      <c r="D47" s="203">
        <f>ROUND(G47/(G$17+$G$15),2)</f>
        <v/>
      </c>
      <c r="E47" s="373" t="n"/>
      <c r="F47" s="374" t="n"/>
      <c r="G47" s="282" t="n">
        <v>6013.81</v>
      </c>
      <c r="H47" s="375" t="n"/>
      <c r="I47" s="282" t="n"/>
      <c r="J47" s="282">
        <f>ROUND(D47*(J15+J17),2)</f>
        <v/>
      </c>
    </row>
    <row r="48" ht="14.25" customFormat="1" customHeight="1" s="304">
      <c r="A48" s="364" t="n"/>
      <c r="B48" s="364" t="n"/>
      <c r="C48" s="372" t="inlineStr">
        <is>
          <t>Сметная прибыль</t>
        </is>
      </c>
      <c r="D48" s="203">
        <f>ROUND(G48/(G$15+G$17),2)</f>
        <v/>
      </c>
      <c r="E48" s="373" t="n"/>
      <c r="F48" s="374" t="n"/>
      <c r="G48" s="282" t="n">
        <v>3161.9</v>
      </c>
      <c r="H48" s="375" t="n"/>
      <c r="I48" s="282" t="n"/>
      <c r="J48" s="282">
        <f>ROUND(D48*(J15+J17),2)</f>
        <v/>
      </c>
    </row>
    <row r="49" ht="14.25" customFormat="1" customHeight="1" s="304">
      <c r="A49" s="364" t="n"/>
      <c r="B49" s="364" t="n"/>
      <c r="C49" s="372" t="inlineStr">
        <is>
          <t>Итого СМР (с НР и СП)</t>
        </is>
      </c>
      <c r="D49" s="364" t="n"/>
      <c r="E49" s="373" t="n"/>
      <c r="F49" s="374" t="n"/>
      <c r="G49" s="282">
        <f>G15+G32+G45+G47+G48</f>
        <v/>
      </c>
      <c r="H49" s="375" t="n"/>
      <c r="I49" s="282" t="n"/>
      <c r="J49" s="282">
        <f>J15+J32+J45+J47+J48</f>
        <v/>
      </c>
    </row>
    <row r="50" ht="14.25" customFormat="1" customHeight="1" s="304">
      <c r="A50" s="364" t="n"/>
      <c r="B50" s="364" t="n"/>
      <c r="C50" s="372" t="inlineStr">
        <is>
          <t>ВСЕГО СМР + ОБОРУДОВАНИЕ</t>
        </is>
      </c>
      <c r="D50" s="364" t="n"/>
      <c r="E50" s="373" t="n"/>
      <c r="F50" s="374" t="n"/>
      <c r="G50" s="282">
        <f>G49+G37</f>
        <v/>
      </c>
      <c r="H50" s="375" t="n"/>
      <c r="I50" s="282" t="n"/>
      <c r="J50" s="282">
        <f>J49+J37</f>
        <v/>
      </c>
    </row>
    <row r="51" ht="14.25" customFormat="1" customHeight="1" s="304">
      <c r="A51" s="364" t="n"/>
      <c r="B51" s="364" t="n"/>
      <c r="C51" s="372" t="inlineStr">
        <is>
          <t>ИТОГО ПОКАЗАТЕЛЬ НА ЕД. ИЗМ.</t>
        </is>
      </c>
      <c r="D51" s="364" t="inlineStr">
        <is>
          <t>1 км</t>
        </is>
      </c>
      <c r="E51" s="448" t="n">
        <v>1</v>
      </c>
      <c r="F51" s="374" t="n"/>
      <c r="G51" s="282">
        <f>G50/E51</f>
        <v/>
      </c>
      <c r="H51" s="375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1000 мм2, сечение экрана 95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4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322">
      <c r="A9" s="245" t="n"/>
      <c r="B9" s="372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4" t="n"/>
      <c r="B10" s="354" t="n"/>
      <c r="C10" s="372" t="inlineStr">
        <is>
          <t>ИТОГО ИНЖЕНЕРНОЕ ОБОРУДОВАНИЕ</t>
        </is>
      </c>
      <c r="D10" s="354" t="n"/>
      <c r="E10" s="148" t="n"/>
      <c r="F10" s="374" t="n"/>
      <c r="G10" s="374" t="n">
        <v>0</v>
      </c>
    </row>
    <row r="11">
      <c r="A11" s="364" t="n"/>
      <c r="B11" s="372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4" t="n"/>
      <c r="B12" s="372" t="n"/>
      <c r="C12" s="372" t="inlineStr">
        <is>
          <t>ИТОГО ТЕХНОЛОГИЧЕСКОЕ ОБОРУДОВАНИЕ</t>
        </is>
      </c>
      <c r="D12" s="372" t="n"/>
      <c r="E12" s="384" t="n"/>
      <c r="F12" s="374" t="n"/>
      <c r="G12" s="282" t="n">
        <v>0</v>
      </c>
    </row>
    <row r="13" ht="19.5" customHeight="1" s="322">
      <c r="A13" s="364" t="n"/>
      <c r="B13" s="372" t="n"/>
      <c r="C13" s="372" t="inlineStr">
        <is>
          <t>Всего по разделу «Оборудование»</t>
        </is>
      </c>
      <c r="D13" s="372" t="n"/>
      <c r="E13" s="384" t="n"/>
      <c r="F13" s="374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К4-08-1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2025-01-24T12:08:32Z</dcterms:modified>
  <cp:lastModifiedBy>User4</cp:lastModifiedBy>
  <cp:lastPrinted>2023-11-28T11:08:30Z</cp:lastPrinted>
</cp:coreProperties>
</file>