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214" min="1" max="2"/>
    <col width="51.7109375" customWidth="1" style="214" min="3" max="3"/>
    <col width="47" customWidth="1" style="214" min="4" max="4"/>
    <col width="37.42578125" customWidth="1" style="214" min="5" max="5"/>
    <col width="9.140625" customWidth="1" style="214" min="6" max="6"/>
  </cols>
  <sheetData>
    <row r="3">
      <c r="B3" s="238" t="inlineStr">
        <is>
          <t>Приложение № 1</t>
        </is>
      </c>
    </row>
    <row r="4">
      <c r="B4" s="239" t="inlineStr">
        <is>
          <t>Сравнительная таблица отбора объекта-представителя</t>
        </is>
      </c>
    </row>
    <row r="5" ht="84" customHeight="1" s="212">
      <c r="B5" s="24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2">
      <c r="B6" s="168" t="n"/>
      <c r="C6" s="168" t="n"/>
      <c r="D6" s="168" t="n"/>
    </row>
    <row r="7" ht="64.5" customHeight="1" s="212">
      <c r="B7" s="240" t="inlineStr">
        <is>
          <t>Наименование разрабатываемого показателя УНЦ - КЛ 500 кВ с системой термомониторинга сечение жилы 1600 мм2, сечение экрана 350 мм2</t>
        </is>
      </c>
    </row>
    <row r="8" ht="31.5" customHeight="1" s="212">
      <c r="B8" s="240" t="inlineStr">
        <is>
          <t>Сопоставимый уровень цен: 4 квартал 2016 г</t>
        </is>
      </c>
    </row>
    <row r="9" ht="15.75" customHeight="1" s="212">
      <c r="B9" s="240" t="inlineStr">
        <is>
          <t>Единица измерения  — 1 км</t>
        </is>
      </c>
    </row>
    <row r="10">
      <c r="B10" s="240" t="n"/>
    </row>
    <row r="11">
      <c r="B11" s="243" t="inlineStr">
        <is>
          <t>№ п/п</t>
        </is>
      </c>
      <c r="C11" s="243" t="inlineStr">
        <is>
          <t>Параметр</t>
        </is>
      </c>
      <c r="D11" s="243" t="inlineStr">
        <is>
          <t xml:space="preserve">Объект-представитель </t>
        </is>
      </c>
      <c r="E11" s="152" t="n"/>
    </row>
    <row r="12" ht="96.75" customHeight="1" s="212">
      <c r="B12" s="243" t="n">
        <v>1</v>
      </c>
      <c r="C12" s="205" t="inlineStr">
        <is>
          <t>Наименование объекта-представителя</t>
        </is>
      </c>
      <c r="D12" s="243" t="inlineStr">
        <is>
          <t>Комплексное техническое перевооружение и реконструкция ПС 500 кВ Очаково. Корректировка</t>
        </is>
      </c>
    </row>
    <row r="13">
      <c r="B13" s="243" t="n">
        <v>2</v>
      </c>
      <c r="C13" s="205" t="inlineStr">
        <is>
          <t>Наименование субъекта Российской Федерации</t>
        </is>
      </c>
      <c r="D13" s="243" t="inlineStr">
        <is>
          <t>Москва</t>
        </is>
      </c>
    </row>
    <row r="14">
      <c r="B14" s="243" t="n">
        <v>3</v>
      </c>
      <c r="C14" s="205" t="inlineStr">
        <is>
          <t>Климатический район и подрайон</t>
        </is>
      </c>
      <c r="D14" s="243" t="inlineStr">
        <is>
          <t>IIВ</t>
        </is>
      </c>
    </row>
    <row r="15">
      <c r="B15" s="243" t="n">
        <v>4</v>
      </c>
      <c r="C15" s="205" t="inlineStr">
        <is>
          <t>Мощность объекта</t>
        </is>
      </c>
      <c r="D15" s="243" t="n"/>
    </row>
    <row r="16" ht="116.25" customHeight="1" s="212">
      <c r="B16" s="24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1" t="inlineStr">
        <is>
          <t>Кабель медный 500 кВ с системой термомониторинга сечение жилы 1600 мм2, сечение экрана 350 мм2</t>
        </is>
      </c>
    </row>
    <row r="17" ht="79.5" customHeight="1" s="212">
      <c r="B17" s="24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1" t="n">
        <v>3706.299425</v>
      </c>
      <c r="E17" s="167" t="n"/>
    </row>
    <row r="18">
      <c r="B18" s="151" t="inlineStr">
        <is>
          <t>6.1</t>
        </is>
      </c>
      <c r="C18" s="205" t="inlineStr">
        <is>
          <t>строительно-монтажные работы</t>
        </is>
      </c>
      <c r="D18" s="211" t="n">
        <v>3706.299425</v>
      </c>
    </row>
    <row r="19" ht="15.75" customHeight="1" s="212">
      <c r="B19" s="151" t="inlineStr">
        <is>
          <t>6.2</t>
        </is>
      </c>
      <c r="C19" s="205" t="inlineStr">
        <is>
          <t>оборудование и инвентарь</t>
        </is>
      </c>
      <c r="D19" s="243" t="inlineStr">
        <is>
          <t>-</t>
        </is>
      </c>
    </row>
    <row r="20" ht="16.5" customHeight="1" s="212">
      <c r="B20" s="151" t="inlineStr">
        <is>
          <t>6.3</t>
        </is>
      </c>
      <c r="C20" s="205" t="inlineStr">
        <is>
          <t>пусконаладочные работы</t>
        </is>
      </c>
      <c r="D20" s="243" t="inlineStr">
        <is>
          <t>-</t>
        </is>
      </c>
    </row>
    <row r="21" ht="35.25" customHeight="1" s="212">
      <c r="B21" s="151" t="inlineStr">
        <is>
          <t>6.4</t>
        </is>
      </c>
      <c r="C21" s="150" t="inlineStr">
        <is>
          <t>прочие и лимитированные затраты</t>
        </is>
      </c>
      <c r="D21" s="243" t="inlineStr">
        <is>
          <t>-</t>
        </is>
      </c>
    </row>
    <row r="22">
      <c r="B22" s="243" t="n">
        <v>7</v>
      </c>
      <c r="C22" s="150" t="inlineStr">
        <is>
          <t>Сопоставимый уровень цен</t>
        </is>
      </c>
      <c r="D22" s="243" t="inlineStr">
        <is>
          <t>4 квартал 2016 г</t>
        </is>
      </c>
      <c r="E22" s="148" t="n"/>
    </row>
    <row r="23" ht="123" customHeight="1" s="212">
      <c r="B23" s="243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1" t="n">
        <v>3706.299425</v>
      </c>
      <c r="E23" s="167" t="n"/>
    </row>
    <row r="24" ht="60.75" customHeight="1" s="212">
      <c r="B24" s="24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11" t="n">
        <v>3706.299425</v>
      </c>
      <c r="E24" s="148" t="n"/>
    </row>
    <row r="25" ht="48" customHeight="1" s="212">
      <c r="B25" s="243" t="n">
        <v>10</v>
      </c>
      <c r="C25" s="205" t="inlineStr">
        <is>
          <t>Примечание</t>
        </is>
      </c>
      <c r="D25" s="243" t="n"/>
    </row>
    <row r="26">
      <c r="B26" s="147" t="n"/>
      <c r="C26" s="146" t="n"/>
      <c r="D26" s="146" t="n"/>
    </row>
    <row r="27" ht="37.5" customHeight="1" s="212">
      <c r="B27" s="145" t="n"/>
    </row>
    <row r="28">
      <c r="B28" s="214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14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="70" zoomScaleNormal="70" workbookViewId="0">
      <selection activeCell="E18" sqref="E18"/>
    </sheetView>
  </sheetViews>
  <sheetFormatPr baseColWidth="8" defaultColWidth="9.140625" defaultRowHeight="15.75"/>
  <cols>
    <col width="5.5703125" customWidth="1" style="214" min="1" max="1"/>
    <col width="9.140625" customWidth="1" style="214" min="2" max="2"/>
    <col width="35.28515625" customWidth="1" style="214" min="3" max="3"/>
    <col width="13.85546875" customWidth="1" style="214" min="4" max="4"/>
    <col width="24.85546875" customWidth="1" style="214" min="5" max="5"/>
    <col width="15.5703125" customWidth="1" style="214" min="6" max="6"/>
    <col width="14.85546875" customWidth="1" style="214" min="7" max="7"/>
    <col width="16.7109375" customWidth="1" style="214" min="8" max="8"/>
    <col width="13" customWidth="1" style="214" min="9" max="10"/>
    <col width="18" customWidth="1" style="214" min="11" max="11"/>
    <col width="9.140625" customWidth="1" style="214" min="12" max="12"/>
  </cols>
  <sheetData>
    <row r="3">
      <c r="B3" s="238" t="inlineStr">
        <is>
          <t>Приложение № 2</t>
        </is>
      </c>
      <c r="K3" s="145" t="n"/>
    </row>
    <row r="4">
      <c r="B4" s="239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12">
      <c r="B6" s="240">
        <f>'Прил.1 Сравнит табл'!B7:D7</f>
        <v/>
      </c>
    </row>
    <row r="7">
      <c r="B7" s="240">
        <f>'Прил.1 Сравнит табл'!B9:D9</f>
        <v/>
      </c>
    </row>
    <row r="8" ht="18.75" customHeight="1" s="212">
      <c r="B8" s="121" t="n"/>
    </row>
    <row r="9" ht="15.75" customHeight="1" s="212">
      <c r="B9" s="243" t="inlineStr">
        <is>
          <t>№ п/п</t>
        </is>
      </c>
      <c r="C9" s="24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3" t="inlineStr">
        <is>
          <t>Объект-представитель 1</t>
        </is>
      </c>
      <c r="E9" s="329" t="n"/>
      <c r="F9" s="329" t="n"/>
      <c r="G9" s="329" t="n"/>
      <c r="H9" s="329" t="n"/>
      <c r="I9" s="329" t="n"/>
      <c r="J9" s="330" t="n"/>
      <c r="K9" s="214" t="n"/>
      <c r="L9" s="214" t="n"/>
    </row>
    <row r="10" ht="15.75" customHeight="1" s="212">
      <c r="B10" s="331" t="n"/>
      <c r="C10" s="331" t="n"/>
      <c r="D10" s="243" t="inlineStr">
        <is>
          <t>Номер сметы</t>
        </is>
      </c>
      <c r="E10" s="243" t="inlineStr">
        <is>
          <t>Наименование сметы</t>
        </is>
      </c>
      <c r="F10" s="243" t="inlineStr">
        <is>
          <t>Сметная стоимость в уровне цен 4 кв. 2016 г., тыс. руб.</t>
        </is>
      </c>
      <c r="G10" s="329" t="n"/>
      <c r="H10" s="329" t="n"/>
      <c r="I10" s="329" t="n"/>
      <c r="J10" s="330" t="n"/>
      <c r="K10" s="214" t="n"/>
      <c r="L10" s="214" t="n"/>
    </row>
    <row r="11" ht="51" customHeight="1" s="212">
      <c r="B11" s="332" t="n"/>
      <c r="C11" s="332" t="n"/>
      <c r="D11" s="332" t="n"/>
      <c r="E11" s="332" t="n"/>
      <c r="F11" s="243" t="inlineStr">
        <is>
          <t>Строительные работы</t>
        </is>
      </c>
      <c r="G11" s="243" t="inlineStr">
        <is>
          <t>Монтажные работы</t>
        </is>
      </c>
      <c r="H11" s="243" t="inlineStr">
        <is>
          <t>Оборудование</t>
        </is>
      </c>
      <c r="I11" s="243" t="inlineStr">
        <is>
          <t>Прочее</t>
        </is>
      </c>
      <c r="J11" s="243" t="inlineStr">
        <is>
          <t>Всего</t>
        </is>
      </c>
      <c r="K11" s="214" t="n"/>
      <c r="L11" s="214" t="n"/>
    </row>
    <row r="12" ht="91.5" customHeight="1" s="212">
      <c r="B12" s="215" t="n">
        <v>1</v>
      </c>
      <c r="C12" s="227" t="inlineStr">
        <is>
          <t>Кабель медный 500 кВ с системой термомониторинга сечение жилы 1600 мм2, сечение экрана 350 мм2</t>
        </is>
      </c>
      <c r="D12" s="204" t="inlineStr">
        <is>
          <t>02-03-10</t>
        </is>
      </c>
      <c r="E12" s="205" t="inlineStr">
        <is>
          <t>Силовая сеть 0,4 кВ (сварочная сеть).ОРУ 500кВ. II этап ОРУ 500 кВ.</t>
        </is>
      </c>
      <c r="F12" s="206" t="n"/>
      <c r="G12" s="206" t="n">
        <v>3706.299425</v>
      </c>
      <c r="H12" s="206" t="n"/>
      <c r="I12" s="206" t="n"/>
      <c r="J12" s="207" t="n">
        <v>3706.299425</v>
      </c>
      <c r="K12" s="208" t="n"/>
      <c r="L12" s="208" t="n"/>
    </row>
    <row r="13" ht="15" customHeight="1" s="212">
      <c r="B13" s="242" t="inlineStr">
        <is>
          <t>Всего по объекту:</t>
        </is>
      </c>
      <c r="C13" s="329" t="n"/>
      <c r="D13" s="329" t="n"/>
      <c r="E13" s="330" t="n"/>
      <c r="F13" s="210" t="n"/>
      <c r="G13" s="210" t="n">
        <v>3706.299425</v>
      </c>
      <c r="H13" s="210" t="n"/>
      <c r="I13" s="210" t="n"/>
      <c r="J13" s="210" t="n">
        <v>3706.299425</v>
      </c>
      <c r="K13" s="208" t="n"/>
      <c r="L13" s="208" t="n"/>
    </row>
    <row r="14" ht="15.75" customHeight="1" s="212">
      <c r="B14" s="242" t="inlineStr">
        <is>
          <t>Всего по объекту в сопоставимом уровне цен 4 кв. 2016 г. :</t>
        </is>
      </c>
      <c r="C14" s="329" t="n"/>
      <c r="D14" s="329" t="n"/>
      <c r="E14" s="330" t="n"/>
      <c r="F14" s="210" t="n"/>
      <c r="G14" s="210" t="n">
        <v>3706.299425</v>
      </c>
      <c r="H14" s="210" t="n"/>
      <c r="I14" s="210" t="n"/>
      <c r="J14" s="210" t="n">
        <v>3706.299425</v>
      </c>
      <c r="K14" s="214" t="n"/>
      <c r="L14" s="208" t="n"/>
    </row>
    <row r="15" ht="15" customHeight="1" s="212"/>
    <row r="16" ht="15" customHeight="1" s="212"/>
    <row r="17" ht="15" customHeight="1" s="212"/>
    <row r="18" ht="15" customHeight="1" s="212">
      <c r="C18" s="196" t="inlineStr">
        <is>
          <t>Составил ______________________     А.Р. Маркова</t>
        </is>
      </c>
      <c r="D18" s="197" t="n"/>
      <c r="E18" s="197" t="n"/>
    </row>
    <row r="19" ht="15" customHeight="1" s="212">
      <c r="C19" s="199" t="inlineStr">
        <is>
          <t xml:space="preserve">                         (подпись, инициалы, фамилия)</t>
        </is>
      </c>
      <c r="D19" s="197" t="n"/>
      <c r="E19" s="197" t="n"/>
    </row>
    <row r="20" ht="15" customHeight="1" s="212">
      <c r="C20" s="196" t="n"/>
      <c r="D20" s="197" t="n"/>
      <c r="E20" s="197" t="n"/>
    </row>
    <row r="21" ht="15" customHeight="1" s="212">
      <c r="C21" s="196" t="inlineStr">
        <is>
          <t>Проверил ______________________        А.В. Костянецкая</t>
        </is>
      </c>
      <c r="D21" s="197" t="n"/>
      <c r="E21" s="197" t="n"/>
    </row>
    <row r="22" ht="15" customHeight="1" s="212">
      <c r="C22" s="199" t="inlineStr">
        <is>
          <t xml:space="preserve">                        (подпись, инициалы, фамилия)</t>
        </is>
      </c>
      <c r="D22" s="197" t="n"/>
      <c r="E22" s="197" t="n"/>
    </row>
    <row r="23" ht="15" customHeight="1" s="212"/>
    <row r="24" ht="15" customHeight="1" s="212"/>
    <row r="25" ht="15" customHeight="1" s="212"/>
    <row r="26" ht="15" customHeight="1" s="212"/>
    <row r="27" ht="15" customHeight="1" s="212"/>
    <row r="28" ht="15" customHeight="1" s="21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1:M34"/>
  <sheetViews>
    <sheetView tabSelected="1" view="pageBreakPreview" topLeftCell="A13" workbookViewId="0">
      <selection activeCell="F31" sqref="F31"/>
    </sheetView>
  </sheetViews>
  <sheetFormatPr baseColWidth="8" defaultColWidth="9.140625" defaultRowHeight="15.75"/>
  <cols>
    <col width="9.140625" customWidth="1" style="214" min="1" max="1"/>
    <col width="12.5703125" customWidth="1" style="214" min="2" max="2"/>
    <col width="22.42578125" customWidth="1" style="214" min="3" max="3"/>
    <col width="49.7109375" customWidth="1" style="214" min="4" max="4"/>
    <col width="10.140625" customWidth="1" style="214" min="5" max="5"/>
    <col width="20.7109375" customWidth="1" style="214" min="6" max="6"/>
    <col width="20" customWidth="1" style="214" min="7" max="7"/>
    <col width="16.7109375" customWidth="1" style="214" min="8" max="8"/>
    <col width="9.140625" customWidth="1" style="214" min="9" max="10"/>
    <col width="15" customWidth="1" style="214" min="11" max="11"/>
    <col width="9.140625" customWidth="1" style="214" min="12" max="12"/>
  </cols>
  <sheetData>
    <row r="1">
      <c r="A1" s="238" t="inlineStr">
        <is>
          <t xml:space="preserve">Приложение № 3 </t>
        </is>
      </c>
    </row>
    <row r="2">
      <c r="A2" s="239" t="inlineStr">
        <is>
          <t>Объектная ресурсная ведомость</t>
        </is>
      </c>
    </row>
    <row r="3" ht="18.75" customHeight="1" s="212">
      <c r="A3" s="175" t="n"/>
      <c r="B3" s="175" t="n"/>
      <c r="C3" s="24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4">
      <c r="A4" s="240" t="n"/>
    </row>
    <row r="5">
      <c r="A5" s="244" t="inlineStr">
        <is>
          <t>Наименование разрабатываемого показателя УНЦ -  КЛ 500 кВ с системой термомониторинга сечение жилы 1600 мм2, сечение экрана 350 мм2</t>
        </is>
      </c>
    </row>
    <row r="6">
      <c r="A6" s="244" t="n"/>
      <c r="B6" s="244" t="n"/>
      <c r="C6" s="244" t="n"/>
      <c r="D6" s="244" t="n"/>
      <c r="E6" s="244" t="n"/>
      <c r="F6" s="244" t="n"/>
      <c r="G6" s="244" t="n"/>
      <c r="H6" s="244" t="n"/>
    </row>
    <row r="7" ht="38.25" customHeight="1" s="212">
      <c r="A7" s="243" t="inlineStr">
        <is>
          <t>п/п</t>
        </is>
      </c>
      <c r="B7" s="243" t="inlineStr">
        <is>
          <t>№ЛСР</t>
        </is>
      </c>
      <c r="C7" s="243" t="inlineStr">
        <is>
          <t>Код ресурса</t>
        </is>
      </c>
      <c r="D7" s="243" t="inlineStr">
        <is>
          <t>Наименование ресурса</t>
        </is>
      </c>
      <c r="E7" s="243" t="inlineStr">
        <is>
          <t>Ед. изм.</t>
        </is>
      </c>
      <c r="F7" s="243" t="inlineStr">
        <is>
          <t>Кол-во единиц по данным объекта-представителя</t>
        </is>
      </c>
      <c r="G7" s="243" t="inlineStr">
        <is>
          <t>Сметная стоимость в ценах на 01.01.2000 (руб.)</t>
        </is>
      </c>
      <c r="H7" s="330" t="n"/>
    </row>
    <row r="8" ht="40.5" customHeight="1" s="212">
      <c r="A8" s="332" t="n"/>
      <c r="B8" s="332" t="n"/>
      <c r="C8" s="332" t="n"/>
      <c r="D8" s="332" t="n"/>
      <c r="E8" s="332" t="n"/>
      <c r="F8" s="332" t="n"/>
      <c r="G8" s="243" t="inlineStr">
        <is>
          <t>на ед.изм.</t>
        </is>
      </c>
      <c r="H8" s="243" t="inlineStr">
        <is>
          <t>общая</t>
        </is>
      </c>
    </row>
    <row r="9">
      <c r="A9" s="227" t="n">
        <v>1</v>
      </c>
      <c r="B9" s="227" t="n"/>
      <c r="C9" s="227" t="n">
        <v>2</v>
      </c>
      <c r="D9" s="227" t="inlineStr">
        <is>
          <t>З</t>
        </is>
      </c>
      <c r="E9" s="227" t="n">
        <v>4</v>
      </c>
      <c r="F9" s="227" t="n">
        <v>5</v>
      </c>
      <c r="G9" s="227" t="n">
        <v>6</v>
      </c>
      <c r="H9" s="227" t="n">
        <v>7</v>
      </c>
    </row>
    <row r="10" customFormat="1" s="191">
      <c r="A10" s="247" t="inlineStr">
        <is>
          <t>Затраты труда рабочих</t>
        </is>
      </c>
      <c r="B10" s="329" t="n"/>
      <c r="C10" s="329" t="n"/>
      <c r="D10" s="329" t="n"/>
      <c r="E10" s="330" t="n"/>
      <c r="F10" s="333">
        <f>SUM(F11:F11)</f>
        <v/>
      </c>
      <c r="G10" s="10" t="n"/>
      <c r="H10" s="333">
        <f>SUM(H11:H11)</f>
        <v/>
      </c>
    </row>
    <row r="11">
      <c r="A11" s="275" t="n">
        <v>1</v>
      </c>
      <c r="B11" s="159" t="n"/>
      <c r="C11" s="137" t="inlineStr">
        <is>
          <t>1-4-0</t>
        </is>
      </c>
      <c r="D11" s="171" t="inlineStr">
        <is>
          <t>Затраты труда рабочих (средний разряд работы 4)</t>
        </is>
      </c>
      <c r="E11" s="275" t="inlineStr">
        <is>
          <t>чел.-ч</t>
        </is>
      </c>
      <c r="F11" s="257" t="n">
        <v>1515.8</v>
      </c>
      <c r="G11" s="334" t="n">
        <v>9.619999999999999</v>
      </c>
      <c r="H11" s="169">
        <f>ROUND(F11*G11,2)</f>
        <v/>
      </c>
      <c r="M11" s="335" t="n"/>
    </row>
    <row r="12">
      <c r="A12" s="246" t="inlineStr">
        <is>
          <t>Затраты труда машинистов</t>
        </is>
      </c>
      <c r="B12" s="329" t="n"/>
      <c r="C12" s="329" t="n"/>
      <c r="D12" s="329" t="n"/>
      <c r="E12" s="330" t="n"/>
      <c r="F12" s="247" t="n"/>
      <c r="G12" s="157" t="n"/>
      <c r="H12" s="333">
        <f>H13</f>
        <v/>
      </c>
    </row>
    <row r="13">
      <c r="A13" s="275" t="n">
        <v>2</v>
      </c>
      <c r="B13" s="248" t="n"/>
      <c r="C13" s="177" t="n">
        <v>2</v>
      </c>
      <c r="D13" s="171" t="inlineStr">
        <is>
          <t>Затраты труда машинистов</t>
        </is>
      </c>
      <c r="E13" s="275" t="inlineStr">
        <is>
          <t>чел.-ч</t>
        </is>
      </c>
      <c r="F13" s="275" t="n">
        <v>104.5</v>
      </c>
      <c r="G13" s="169" t="n"/>
      <c r="H13" s="334" t="n">
        <v>1228.7</v>
      </c>
    </row>
    <row r="14" customFormat="1" s="191">
      <c r="A14" s="247" t="inlineStr">
        <is>
          <t>Машины и механизмы</t>
        </is>
      </c>
      <c r="B14" s="329" t="n"/>
      <c r="C14" s="329" t="n"/>
      <c r="D14" s="329" t="n"/>
      <c r="E14" s="330" t="n"/>
      <c r="F14" s="247" t="n"/>
      <c r="G14" s="157" t="n"/>
      <c r="H14" s="333">
        <f>SUM(H15:H24)</f>
        <v/>
      </c>
    </row>
    <row r="15" ht="25.5" customHeight="1" s="212">
      <c r="A15" s="275" t="n">
        <v>3</v>
      </c>
      <c r="B15" s="248" t="n"/>
      <c r="C15" s="177" t="inlineStr">
        <is>
          <t>91.05.05-018</t>
        </is>
      </c>
      <c r="D15" s="171" t="inlineStr">
        <is>
          <t>Краны на автомобильном ходу, грузоподъемность 63 т</t>
        </is>
      </c>
      <c r="E15" s="275" t="inlineStr">
        <is>
          <t>маш.час</t>
        </is>
      </c>
      <c r="F15" s="275" t="n">
        <v>19.9</v>
      </c>
      <c r="G15" s="178" t="n">
        <v>823.23</v>
      </c>
      <c r="H15" s="169">
        <f>ROUND(F15*G15,2)</f>
        <v/>
      </c>
      <c r="I15" s="173" t="n"/>
      <c r="J15" s="173" t="n"/>
      <c r="L15" s="173" t="n"/>
    </row>
    <row r="16" ht="25.5" customFormat="1" customHeight="1" s="191">
      <c r="A16" s="275" t="n">
        <v>4</v>
      </c>
      <c r="B16" s="248" t="n"/>
      <c r="C16" s="177" t="inlineStr">
        <is>
          <t>91.06.03-012</t>
        </is>
      </c>
      <c r="D16" s="171" t="inlineStr">
        <is>
          <t>Лебедки-прицепы гидравлические для протяжки кабеля, тяговое усилие 10 т</t>
        </is>
      </c>
      <c r="E16" s="275" t="inlineStr">
        <is>
          <t>маш.час</t>
        </is>
      </c>
      <c r="F16" s="275" t="n">
        <v>34.5</v>
      </c>
      <c r="G16" s="178" t="n">
        <v>244.95</v>
      </c>
      <c r="H16" s="169">
        <f>ROUND(F16*G16,2)</f>
        <v/>
      </c>
      <c r="I16" s="173" t="n"/>
      <c r="J16" s="173" t="n"/>
      <c r="K16" s="184" t="n"/>
      <c r="L16" s="173" t="n"/>
    </row>
    <row r="17">
      <c r="A17" s="275" t="n">
        <v>5</v>
      </c>
      <c r="B17" s="248" t="n"/>
      <c r="C17" s="177" t="inlineStr">
        <is>
          <t>91.14.04-003</t>
        </is>
      </c>
      <c r="D17" s="171" t="inlineStr">
        <is>
          <t>Тягачи седельные, грузоподъемность 30 т</t>
        </is>
      </c>
      <c r="E17" s="275" t="inlineStr">
        <is>
          <t>маш.час</t>
        </is>
      </c>
      <c r="F17" s="275" t="n">
        <v>16.7</v>
      </c>
      <c r="G17" s="178" t="n">
        <v>120.31</v>
      </c>
      <c r="H17" s="169">
        <f>ROUND(F17*G17,2)</f>
        <v/>
      </c>
      <c r="I17" s="173" t="n"/>
      <c r="J17" s="173" t="n"/>
      <c r="L17" s="173" t="n"/>
    </row>
    <row r="18" ht="25.5" customHeight="1" s="212">
      <c r="A18" s="275" t="n">
        <v>6</v>
      </c>
      <c r="B18" s="248" t="n"/>
      <c r="C18" s="177" t="inlineStr">
        <is>
          <t>91.05.13-001</t>
        </is>
      </c>
      <c r="D18" s="171" t="inlineStr">
        <is>
          <t>Автомобили бортовые, грузоподъемность до 6 т, с краном-манипулятором-4,0 т</t>
        </is>
      </c>
      <c r="E18" s="275" t="inlineStr">
        <is>
          <t>маш.час</t>
        </is>
      </c>
      <c r="F18" s="275" t="n">
        <v>2.2</v>
      </c>
      <c r="G18" s="178" t="n">
        <v>288.03</v>
      </c>
      <c r="H18" s="169">
        <f>ROUND(F18*G18,2)</f>
        <v/>
      </c>
      <c r="I18" s="173" t="n"/>
      <c r="J18" s="173" t="n"/>
      <c r="L18" s="173" t="n"/>
    </row>
    <row r="19" ht="25.5" customHeight="1" s="212">
      <c r="A19" s="275" t="n">
        <v>7</v>
      </c>
      <c r="B19" s="248" t="n"/>
      <c r="C19" s="177" t="inlineStr">
        <is>
          <t>91.11.01-021</t>
        </is>
      </c>
      <c r="D19" s="171" t="inlineStr">
        <is>
          <t>Устройства подталкивающие для протяжки кабеля, тяговое усилие 800 кг</t>
        </is>
      </c>
      <c r="E19" s="275" t="inlineStr">
        <is>
          <t>маш.час</t>
        </is>
      </c>
      <c r="F19" s="275" t="n">
        <v>24.6</v>
      </c>
      <c r="G19" s="178" t="n">
        <v>25.37</v>
      </c>
      <c r="H19" s="169">
        <f>ROUND(F19*G19,2)</f>
        <v/>
      </c>
      <c r="I19" s="173" t="n"/>
      <c r="J19" s="173" t="n"/>
      <c r="L19" s="173" t="n"/>
    </row>
    <row r="20">
      <c r="A20" s="275" t="n">
        <v>8</v>
      </c>
      <c r="B20" s="248" t="n"/>
      <c r="C20" s="177" t="inlineStr">
        <is>
          <t>91.14.05-002</t>
        </is>
      </c>
      <c r="D20" s="171" t="inlineStr">
        <is>
          <t>Полуприцепы-тяжеловозы, грузоподъемность 40 т</t>
        </is>
      </c>
      <c r="E20" s="275" t="inlineStr">
        <is>
          <t>маш.час</t>
        </is>
      </c>
      <c r="F20" s="275" t="n">
        <v>16.7</v>
      </c>
      <c r="G20" s="178" t="n">
        <v>28.65</v>
      </c>
      <c r="H20" s="169">
        <f>ROUND(F20*G20,2)</f>
        <v/>
      </c>
      <c r="I20" s="173" t="n"/>
      <c r="J20" s="173" t="n"/>
      <c r="L20" s="173" t="n"/>
    </row>
    <row r="21">
      <c r="A21" s="275" t="n">
        <v>9</v>
      </c>
      <c r="B21" s="248" t="n"/>
      <c r="C21" s="177" t="inlineStr">
        <is>
          <t>91.16.01-002</t>
        </is>
      </c>
      <c r="D21" s="171" t="inlineStr">
        <is>
          <t>Электростанции передвижные, мощность 4 кВт</t>
        </is>
      </c>
      <c r="E21" s="275" t="inlineStr">
        <is>
          <t>маш.час</t>
        </is>
      </c>
      <c r="F21" s="275" t="n">
        <v>11.3</v>
      </c>
      <c r="G21" s="178" t="n">
        <v>27.11</v>
      </c>
      <c r="H21" s="169">
        <f>ROUND(F21*G21,2)</f>
        <v/>
      </c>
      <c r="I21" s="173" t="n"/>
      <c r="J21" s="173" t="n"/>
    </row>
    <row r="22">
      <c r="A22" s="275" t="n">
        <v>10</v>
      </c>
      <c r="B22" s="248" t="n"/>
      <c r="C22" s="177" t="inlineStr">
        <is>
          <t>91.17.04-091</t>
        </is>
      </c>
      <c r="D22" s="171" t="inlineStr">
        <is>
          <t>Горелки газовые инжекторные</t>
        </is>
      </c>
      <c r="E22" s="275" t="inlineStr">
        <is>
          <t>маш.час</t>
        </is>
      </c>
      <c r="F22" s="275" t="n">
        <v>11.3</v>
      </c>
      <c r="G22" s="178" t="n">
        <v>13.5</v>
      </c>
      <c r="H22" s="169">
        <f>ROUND(F22*G22,2)</f>
        <v/>
      </c>
      <c r="J22" s="173" t="n"/>
    </row>
    <row r="23">
      <c r="A23" s="275" t="n">
        <v>11</v>
      </c>
      <c r="B23" s="248" t="n"/>
      <c r="C23" s="177" t="inlineStr">
        <is>
          <t>91.21.15-022</t>
        </is>
      </c>
      <c r="D23" s="171" t="inlineStr">
        <is>
          <t>Пилы ленточные с поворотной пилорамой</t>
        </is>
      </c>
      <c r="E23" s="275" t="inlineStr">
        <is>
          <t>маш.час</t>
        </is>
      </c>
      <c r="F23" s="275" t="n">
        <v>11.3</v>
      </c>
      <c r="G23" s="178" t="n">
        <v>3.31</v>
      </c>
      <c r="H23" s="169">
        <f>ROUND(F23*G23,2)</f>
        <v/>
      </c>
      <c r="J23" s="173" t="n"/>
    </row>
    <row r="24">
      <c r="A24" s="275" t="n">
        <v>12</v>
      </c>
      <c r="B24" s="248" t="n"/>
      <c r="C24" s="177" t="inlineStr">
        <is>
          <t>91.06.01-002</t>
        </is>
      </c>
      <c r="D24" s="171" t="inlineStr">
        <is>
          <t>Домкраты гидравлические, грузоподъемность 6,3-25 т</t>
        </is>
      </c>
      <c r="E24" s="275" t="inlineStr">
        <is>
          <t>маш.час</t>
        </is>
      </c>
      <c r="F24" s="275" t="n">
        <v>57.3</v>
      </c>
      <c r="G24" s="178" t="n">
        <v>0.48</v>
      </c>
      <c r="H24" s="169">
        <f>ROUND(F24*G24,2)</f>
        <v/>
      </c>
      <c r="J24" s="173" t="n"/>
    </row>
    <row r="25">
      <c r="A25" s="247" t="inlineStr">
        <is>
          <t>Материалы</t>
        </is>
      </c>
      <c r="B25" s="329" t="n"/>
      <c r="C25" s="329" t="n"/>
      <c r="D25" s="329" t="n"/>
      <c r="E25" s="330" t="n"/>
      <c r="F25" s="247" t="n"/>
      <c r="G25" s="157" t="n"/>
      <c r="H25" s="333">
        <f>SUM(H26:H27)</f>
        <v/>
      </c>
    </row>
    <row r="26" ht="25.5" customHeight="1" s="212">
      <c r="A26" s="182" t="n">
        <v>13</v>
      </c>
      <c r="B26" s="182" t="n"/>
      <c r="C26" s="275" t="inlineStr">
        <is>
          <t>Прайс из СД ОП</t>
        </is>
      </c>
      <c r="D26" s="181" t="inlineStr">
        <is>
          <t>Кабель медный 500 кВ с системой термомониторинга сечение жилы 1600 мм2, сечение экрана 350 мм2</t>
        </is>
      </c>
      <c r="E26" s="275" t="inlineStr">
        <is>
          <t>км</t>
        </is>
      </c>
      <c r="F26" s="275" t="n">
        <v>3.3</v>
      </c>
      <c r="G26" s="181" t="n">
        <v>12925639.15</v>
      </c>
      <c r="H26" s="169" t="n">
        <v>42654609.2</v>
      </c>
    </row>
    <row r="27">
      <c r="A27" s="182" t="n">
        <v>14</v>
      </c>
      <c r="B27" s="248" t="n"/>
      <c r="C27" s="177" t="inlineStr">
        <is>
          <t>01.3.02.09-0022</t>
        </is>
      </c>
      <c r="D27" s="171" t="inlineStr">
        <is>
          <t>Пропан-бутан смесь техническая</t>
        </is>
      </c>
      <c r="E27" s="275" t="inlineStr">
        <is>
          <t>кг</t>
        </is>
      </c>
      <c r="F27" s="275" t="n">
        <v>3.617</v>
      </c>
      <c r="G27" s="169" t="n">
        <v>6.09</v>
      </c>
      <c r="H27" s="169" t="n">
        <v>22.03</v>
      </c>
      <c r="I27" s="166" t="n"/>
      <c r="J27" s="173" t="n"/>
      <c r="K27" s="173" t="n"/>
    </row>
    <row r="30">
      <c r="B30" s="214" t="inlineStr">
        <is>
          <t>Составил ______________________     А.Р. Маркова</t>
        </is>
      </c>
    </row>
    <row r="31">
      <c r="B31" s="145" t="inlineStr">
        <is>
          <t xml:space="preserve">                         (подпись, инициалы, фамилия)</t>
        </is>
      </c>
    </row>
    <row r="33">
      <c r="B33" s="214" t="inlineStr">
        <is>
          <t>Проверил ______________________        А.В. Костянецкая</t>
        </is>
      </c>
    </row>
    <row r="34">
      <c r="B34" s="145" t="inlineStr">
        <is>
          <t xml:space="preserve">                        (подпись, инициалы, фамилия)</t>
        </is>
      </c>
    </row>
  </sheetData>
  <mergeCells count="15">
    <mergeCell ref="A1:H1"/>
    <mergeCell ref="A12:E12"/>
    <mergeCell ref="G7:H7"/>
    <mergeCell ref="A14:E14"/>
    <mergeCell ref="A10:E10"/>
    <mergeCell ref="A25:E25"/>
    <mergeCell ref="A2:H2"/>
    <mergeCell ref="C3:H3"/>
    <mergeCell ref="D7:D8"/>
    <mergeCell ref="A7:A8"/>
    <mergeCell ref="B7:B8"/>
    <mergeCell ref="E7:E8"/>
    <mergeCell ref="C7:C8"/>
    <mergeCell ref="F7:F8"/>
    <mergeCell ref="A5:H5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212" min="1" max="1"/>
    <col width="36.28515625" customWidth="1" style="212" min="2" max="2"/>
    <col width="18.85546875" customWidth="1" style="212" min="3" max="3"/>
    <col width="18.28515625" customWidth="1" style="212" min="4" max="4"/>
    <col width="18.85546875" customWidth="1" style="212" min="5" max="5"/>
    <col width="11.42578125" customWidth="1" style="212" min="6" max="6"/>
    <col width="14.42578125" customWidth="1" style="212" min="7" max="7"/>
    <col width="13.5703125" customWidth="1" style="212" min="12" max="12"/>
  </cols>
  <sheetData>
    <row r="1">
      <c r="B1" s="196" t="n"/>
      <c r="C1" s="196" t="n"/>
      <c r="D1" s="196" t="n"/>
      <c r="E1" s="196" t="n"/>
    </row>
    <row r="2">
      <c r="B2" s="196" t="n"/>
      <c r="C2" s="196" t="n"/>
      <c r="D2" s="196" t="n"/>
      <c r="E2" s="270" t="inlineStr">
        <is>
          <t>Приложение № 4</t>
        </is>
      </c>
    </row>
    <row r="3">
      <c r="B3" s="196" t="n"/>
      <c r="C3" s="196" t="n"/>
      <c r="D3" s="196" t="n"/>
      <c r="E3" s="196" t="n"/>
    </row>
    <row r="4">
      <c r="B4" s="196" t="n"/>
      <c r="C4" s="196" t="n"/>
      <c r="D4" s="196" t="n"/>
      <c r="E4" s="196" t="n"/>
    </row>
    <row r="5">
      <c r="B5" s="228" t="inlineStr">
        <is>
          <t>Ресурсная модель</t>
        </is>
      </c>
    </row>
    <row r="6">
      <c r="B6" s="165" t="n"/>
      <c r="C6" s="196" t="n"/>
      <c r="D6" s="196" t="n"/>
      <c r="E6" s="196" t="n"/>
    </row>
    <row r="7" ht="25.5" customHeight="1" s="212">
      <c r="B7" s="237" t="inlineStr">
        <is>
          <t>Наименование разрабатываемого показателя УНЦ — КЛ 500 кВ с системой термомониторинга сечение жилы 1600 мм2, сечение экрана 350 мм2</t>
        </is>
      </c>
    </row>
    <row r="8">
      <c r="B8" s="250" t="inlineStr">
        <is>
          <t>Единица измерения  — 1 км</t>
        </is>
      </c>
    </row>
    <row r="9">
      <c r="B9" s="165" t="n"/>
      <c r="C9" s="196" t="n"/>
      <c r="D9" s="196" t="n"/>
      <c r="E9" s="196" t="n"/>
    </row>
    <row r="10" ht="51" customHeight="1" s="212">
      <c r="B10" s="257" t="inlineStr">
        <is>
          <t>Наименование</t>
        </is>
      </c>
      <c r="C10" s="257" t="inlineStr">
        <is>
          <t>Сметная стоимость в ценах на 01.01.2023
 (руб.)</t>
        </is>
      </c>
      <c r="D10" s="257" t="inlineStr">
        <is>
          <t>Удельный вес, 
(в СМР)</t>
        </is>
      </c>
      <c r="E10" s="257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ОБ'!J31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ОБ'!J42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ОБ'!J44</f>
        <v/>
      </c>
      <c r="D17" s="27">
        <f>C17/$C$24</f>
        <v/>
      </c>
      <c r="E17" s="27">
        <f>C17/$C$40</f>
        <v/>
      </c>
      <c r="G17" s="336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ОБ'!D48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ОБ'!D47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12">
      <c r="B25" s="25" t="inlineStr">
        <is>
          <t>ВСЕГО стоимость оборудования, в том числе</t>
        </is>
      </c>
      <c r="C25" s="162">
        <f>'Прил.5 Расчет СМР и ОБ'!J37</f>
        <v/>
      </c>
      <c r="D25" s="27" t="n"/>
      <c r="E25" s="27">
        <f>C25/$C$40</f>
        <v/>
      </c>
    </row>
    <row r="26" ht="25.5" customHeight="1" s="212">
      <c r="B26" s="25" t="inlineStr">
        <is>
          <t>стоимость оборудования технологического</t>
        </is>
      </c>
      <c r="C26" s="162">
        <f>'Прил.5 Расчет СМР и ОБ'!J38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2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12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12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0" t="n">
        <v>0</v>
      </c>
      <c r="D31" s="25" t="n"/>
      <c r="E31" s="27">
        <f>C31/$C$40</f>
        <v/>
      </c>
    </row>
    <row r="32" ht="25.5" customHeight="1" s="212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12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12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12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12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 s="212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 s="212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ОБ'!E51</f>
        <v/>
      </c>
      <c r="D41" s="25" t="n"/>
      <c r="E41" s="25" t="n"/>
    </row>
    <row r="42">
      <c r="B42" s="161" t="n"/>
      <c r="C42" s="196" t="n"/>
      <c r="D42" s="196" t="n"/>
      <c r="E42" s="196" t="n"/>
    </row>
    <row r="43">
      <c r="B43" s="161" t="inlineStr">
        <is>
          <t>Составил ____________________________ А.Р. Маркова</t>
        </is>
      </c>
      <c r="C43" s="196" t="n"/>
      <c r="D43" s="196" t="n"/>
      <c r="E43" s="196" t="n"/>
    </row>
    <row r="44">
      <c r="B44" s="161" t="inlineStr">
        <is>
          <t xml:space="preserve">(должность, подпись, инициалы, фамилия) </t>
        </is>
      </c>
      <c r="C44" s="196" t="n"/>
      <c r="D44" s="196" t="n"/>
      <c r="E44" s="196" t="n"/>
    </row>
    <row r="45">
      <c r="B45" s="161" t="n"/>
      <c r="C45" s="196" t="n"/>
      <c r="D45" s="196" t="n"/>
      <c r="E45" s="196" t="n"/>
    </row>
    <row r="46">
      <c r="B46" s="161" t="inlineStr">
        <is>
          <t>Проверил ____________________________ А.В. Костянецкая</t>
        </is>
      </c>
      <c r="C46" s="196" t="n"/>
      <c r="D46" s="196" t="n"/>
      <c r="E46" s="196" t="n"/>
    </row>
    <row r="47">
      <c r="B47" s="250" t="inlineStr">
        <is>
          <t>(должность, подпись, инициалы, фамилия)</t>
        </is>
      </c>
      <c r="D47" s="196" t="n"/>
      <c r="E47" s="196" t="n"/>
    </row>
    <row r="49">
      <c r="B49" s="196" t="n"/>
      <c r="C49" s="196" t="n"/>
      <c r="D49" s="196" t="n"/>
      <c r="E49" s="196" t="n"/>
    </row>
    <row r="50">
      <c r="B50" s="196" t="n"/>
      <c r="C50" s="196" t="n"/>
      <c r="D50" s="196" t="n"/>
      <c r="E50" s="19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7"/>
  <sheetViews>
    <sheetView view="pageBreakPreview" topLeftCell="A39" workbookViewId="0">
      <selection activeCell="E54" sqref="E54"/>
    </sheetView>
  </sheetViews>
  <sheetFormatPr baseColWidth="8" defaultColWidth="9.140625" defaultRowHeight="15" outlineLevelRow="1"/>
  <cols>
    <col width="5.7109375" customWidth="1" style="197" min="1" max="1"/>
    <col width="22.5703125" customWidth="1" style="197" min="2" max="2"/>
    <col width="39.140625" customWidth="1" style="197" min="3" max="3"/>
    <col width="10.7109375" customWidth="1" style="197" min="4" max="4"/>
    <col width="12.7109375" customWidth="1" style="197" min="5" max="5"/>
    <col width="15" customWidth="1" style="197" min="6" max="6"/>
    <col width="13.42578125" customWidth="1" style="197" min="7" max="7"/>
    <col width="12.7109375" customWidth="1" style="197" min="8" max="8"/>
    <col width="13.85546875" customWidth="1" style="197" min="9" max="9"/>
    <col width="17.5703125" customWidth="1" style="197" min="10" max="10"/>
    <col width="10.85546875" customWidth="1" style="197" min="11" max="11"/>
    <col width="9.140625" customWidth="1" style="197" min="12" max="12"/>
  </cols>
  <sheetData>
    <row r="1">
      <c r="M1" s="197" t="n"/>
      <c r="N1" s="197" t="n"/>
    </row>
    <row r="2" ht="15.75" customHeight="1" s="212">
      <c r="H2" s="265" t="inlineStr">
        <is>
          <t>Приложение №5</t>
        </is>
      </c>
      <c r="M2" s="197" t="n"/>
      <c r="N2" s="197" t="n"/>
    </row>
    <row r="3">
      <c r="M3" s="197" t="n"/>
      <c r="N3" s="197" t="n"/>
    </row>
    <row r="4" ht="12.75" customFormat="1" customHeight="1" s="196">
      <c r="A4" s="228" t="inlineStr">
        <is>
          <t>Расчет стоимости СМР и оборудования</t>
        </is>
      </c>
    </row>
    <row r="5" ht="12.75" customFormat="1" customHeight="1" s="196">
      <c r="A5" s="228" t="n"/>
      <c r="B5" s="228" t="n"/>
      <c r="C5" s="278" t="n"/>
      <c r="D5" s="228" t="n"/>
      <c r="E5" s="228" t="n"/>
      <c r="F5" s="228" t="n"/>
      <c r="G5" s="228" t="n"/>
      <c r="H5" s="228" t="n"/>
      <c r="I5" s="228" t="n"/>
      <c r="J5" s="228" t="n"/>
    </row>
    <row r="6" ht="12.75" customFormat="1" customHeight="1" s="196">
      <c r="A6" s="139" t="inlineStr">
        <is>
          <t>Наименование разрабатываемого показателя УНЦ</t>
        </is>
      </c>
      <c r="B6" s="138" t="n"/>
      <c r="C6" s="138" t="n"/>
      <c r="D6" s="269" t="inlineStr">
        <is>
          <t>КЛ 500 кВ с системой термомониторинга сечение жилы 1600 мм2, сечение экрана 350 мм2</t>
        </is>
      </c>
    </row>
    <row r="7" ht="12.75" customFormat="1" customHeight="1" s="196">
      <c r="A7" s="231" t="inlineStr">
        <is>
          <t>Единица измерения  — 1 км</t>
        </is>
      </c>
      <c r="I7" s="237" t="n"/>
      <c r="J7" s="237" t="n"/>
    </row>
    <row r="8" ht="13.5" customFormat="1" customHeight="1" s="196">
      <c r="A8" s="231" t="n"/>
    </row>
    <row r="9" ht="13.15" customFormat="1" customHeight="1" s="196"/>
    <row r="10" ht="27" customHeight="1" s="212">
      <c r="A10" s="257" t="inlineStr">
        <is>
          <t>№ пп.</t>
        </is>
      </c>
      <c r="B10" s="257" t="inlineStr">
        <is>
          <t>Код ресурса</t>
        </is>
      </c>
      <c r="C10" s="257" t="inlineStr">
        <is>
          <t>Наименование</t>
        </is>
      </c>
      <c r="D10" s="257" t="inlineStr">
        <is>
          <t>Ед. изм.</t>
        </is>
      </c>
      <c r="E10" s="257" t="inlineStr">
        <is>
          <t>Кол-во единиц по проектным данным</t>
        </is>
      </c>
      <c r="F10" s="257" t="inlineStr">
        <is>
          <t>Сметная стоимость в ценах на 01.01.2000 (руб.)</t>
        </is>
      </c>
      <c r="G10" s="330" t="n"/>
      <c r="H10" s="257" t="inlineStr">
        <is>
          <t>Удельный вес, %</t>
        </is>
      </c>
      <c r="I10" s="257" t="inlineStr">
        <is>
          <t>Сметная стоимость в ценах на 01.01.2023 (руб.)</t>
        </is>
      </c>
      <c r="J10" s="330" t="n"/>
      <c r="M10" s="197" t="n"/>
      <c r="N10" s="197" t="n"/>
    </row>
    <row r="11" ht="28.5" customHeight="1" s="212">
      <c r="A11" s="332" t="n"/>
      <c r="B11" s="332" t="n"/>
      <c r="C11" s="332" t="n"/>
      <c r="D11" s="332" t="n"/>
      <c r="E11" s="332" t="n"/>
      <c r="F11" s="257" t="inlineStr">
        <is>
          <t>на ед. изм.</t>
        </is>
      </c>
      <c r="G11" s="257" t="inlineStr">
        <is>
          <t>общая</t>
        </is>
      </c>
      <c r="H11" s="332" t="n"/>
      <c r="I11" s="257" t="inlineStr">
        <is>
          <t>на ед. изм.</t>
        </is>
      </c>
      <c r="J11" s="257" t="inlineStr">
        <is>
          <t>общая</t>
        </is>
      </c>
      <c r="M11" s="197" t="n"/>
      <c r="N11" s="197" t="n"/>
    </row>
    <row r="12">
      <c r="A12" s="257" t="n">
        <v>1</v>
      </c>
      <c r="B12" s="257" t="n">
        <v>2</v>
      </c>
      <c r="C12" s="257" t="n">
        <v>3</v>
      </c>
      <c r="D12" s="257" t="n">
        <v>4</v>
      </c>
      <c r="E12" s="257" t="n">
        <v>5</v>
      </c>
      <c r="F12" s="257" t="n">
        <v>6</v>
      </c>
      <c r="G12" s="257" t="n">
        <v>7</v>
      </c>
      <c r="H12" s="257" t="n">
        <v>8</v>
      </c>
      <c r="I12" s="252" t="n">
        <v>9</v>
      </c>
      <c r="J12" s="252" t="n">
        <v>10</v>
      </c>
      <c r="M12" s="197" t="n"/>
      <c r="N12" s="197" t="n"/>
    </row>
    <row r="13">
      <c r="A13" s="257" t="n"/>
      <c r="B13" s="246" t="inlineStr">
        <is>
          <t>Затраты труда рабочих-строителей</t>
        </is>
      </c>
      <c r="C13" s="329" t="n"/>
      <c r="D13" s="329" t="n"/>
      <c r="E13" s="329" t="n"/>
      <c r="F13" s="329" t="n"/>
      <c r="G13" s="329" t="n"/>
      <c r="H13" s="330" t="n"/>
      <c r="I13" s="127" t="n"/>
      <c r="J13" s="127" t="n"/>
    </row>
    <row r="14" ht="25.5" customHeight="1" s="212">
      <c r="A14" s="257" t="n">
        <v>1</v>
      </c>
      <c r="B14" s="137" t="inlineStr">
        <is>
          <t>1-4-0</t>
        </is>
      </c>
      <c r="C14" s="256" t="inlineStr">
        <is>
          <t>Затраты труда рабочих-строителей среднего разряда (4,0)</t>
        </is>
      </c>
      <c r="D14" s="257" t="inlineStr">
        <is>
          <t>чел.-ч.</t>
        </is>
      </c>
      <c r="E14" s="337">
        <f>G14/F14</f>
        <v/>
      </c>
      <c r="F14" s="32" t="n">
        <v>9.619999999999999</v>
      </c>
      <c r="G14" s="32">
        <f>'Прил. 3'!H10</f>
        <v/>
      </c>
      <c r="H14" s="130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97">
      <c r="A15" s="257" t="n"/>
      <c r="B15" s="257" t="n"/>
      <c r="C15" s="246" t="inlineStr">
        <is>
          <t>Итого по разделу "Затраты труда рабочих-строителей"</t>
        </is>
      </c>
      <c r="D15" s="257" t="inlineStr">
        <is>
          <t>чел.-ч.</t>
        </is>
      </c>
      <c r="E15" s="337">
        <f>SUM(E14:E14)</f>
        <v/>
      </c>
      <c r="F15" s="32" t="n"/>
      <c r="G15" s="32">
        <f>SUM(G14:G14)</f>
        <v/>
      </c>
      <c r="H15" s="260" t="n">
        <v>1</v>
      </c>
      <c r="I15" s="127" t="n"/>
      <c r="J15" s="32">
        <f>SUM(J14:J14)</f>
        <v/>
      </c>
    </row>
    <row r="16" ht="14.25" customFormat="1" customHeight="1" s="197">
      <c r="A16" s="257" t="n"/>
      <c r="B16" s="256" t="inlineStr">
        <is>
          <t>Затраты труда машинистов</t>
        </is>
      </c>
      <c r="C16" s="329" t="n"/>
      <c r="D16" s="329" t="n"/>
      <c r="E16" s="329" t="n"/>
      <c r="F16" s="329" t="n"/>
      <c r="G16" s="329" t="n"/>
      <c r="H16" s="330" t="n"/>
      <c r="I16" s="127" t="n"/>
      <c r="J16" s="127" t="n"/>
    </row>
    <row r="17" ht="14.25" customFormat="1" customHeight="1" s="197">
      <c r="A17" s="257" t="n">
        <v>2</v>
      </c>
      <c r="B17" s="257" t="n">
        <v>2</v>
      </c>
      <c r="C17" s="256" t="inlineStr">
        <is>
          <t>Затраты труда машинистов</t>
        </is>
      </c>
      <c r="D17" s="257" t="inlineStr">
        <is>
          <t>чел.-ч.</t>
        </is>
      </c>
      <c r="E17" s="337" t="n">
        <v>104.5</v>
      </c>
      <c r="F17" s="32">
        <f>G17/E17</f>
        <v/>
      </c>
      <c r="G17" s="32">
        <f>'Прил. 3'!H12</f>
        <v/>
      </c>
      <c r="H17" s="260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97">
      <c r="A18" s="257" t="n"/>
      <c r="B18" s="246" t="inlineStr">
        <is>
          <t>Машины и механизмы</t>
        </is>
      </c>
      <c r="C18" s="329" t="n"/>
      <c r="D18" s="329" t="n"/>
      <c r="E18" s="329" t="n"/>
      <c r="F18" s="329" t="n"/>
      <c r="G18" s="329" t="n"/>
      <c r="H18" s="330" t="n"/>
      <c r="I18" s="127" t="n"/>
      <c r="J18" s="127" t="n"/>
    </row>
    <row r="19" ht="14.25" customFormat="1" customHeight="1" s="197">
      <c r="A19" s="257" t="n"/>
      <c r="B19" s="256" t="inlineStr">
        <is>
          <t>Основные машины и механизмы</t>
        </is>
      </c>
      <c r="C19" s="329" t="n"/>
      <c r="D19" s="329" t="n"/>
      <c r="E19" s="329" t="n"/>
      <c r="F19" s="329" t="n"/>
      <c r="G19" s="329" t="n"/>
      <c r="H19" s="330" t="n"/>
      <c r="I19" s="127" t="n"/>
      <c r="J19" s="127" t="n"/>
    </row>
    <row r="20" ht="25.5" customFormat="1" customHeight="1" s="197">
      <c r="A20" s="257" t="n">
        <v>3</v>
      </c>
      <c r="B20" s="177" t="inlineStr">
        <is>
          <t>91.05.05-018</t>
        </is>
      </c>
      <c r="C20" s="171" t="inlineStr">
        <is>
          <t>Краны на автомобильном ходу, грузоподъемность 63 т</t>
        </is>
      </c>
      <c r="D20" s="275" t="inlineStr">
        <is>
          <t>маш.час</t>
        </is>
      </c>
      <c r="E20" s="338" t="n">
        <v>19.9</v>
      </c>
      <c r="F20" s="178" t="n">
        <v>823.23</v>
      </c>
      <c r="G20" s="32">
        <f>ROUND(E20*F20,2)</f>
        <v/>
      </c>
      <c r="H20" s="130">
        <f>G20/$G$32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97">
      <c r="A21" s="257" t="n">
        <v>4</v>
      </c>
      <c r="B21" s="177" t="inlineStr">
        <is>
          <t>91.06.03-012</t>
        </is>
      </c>
      <c r="C21" s="171" t="inlineStr">
        <is>
          <t>Лебедки-прицепы гидравлические для протяжки кабеля, тяговое усилие 10 т</t>
        </is>
      </c>
      <c r="D21" s="275" t="inlineStr">
        <is>
          <t>маш.час</t>
        </is>
      </c>
      <c r="E21" s="338" t="n">
        <v>34.5</v>
      </c>
      <c r="F21" s="178" t="n">
        <v>244.95</v>
      </c>
      <c r="G21" s="32">
        <f>ROUND(E21*F21,2)</f>
        <v/>
      </c>
      <c r="H21" s="130">
        <f>G21/$G$32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97">
      <c r="A22" s="257" t="n"/>
      <c r="B22" s="257" t="n"/>
      <c r="C22" s="256" t="inlineStr">
        <is>
          <t>Итого основные машины и механизмы</t>
        </is>
      </c>
      <c r="D22" s="257" t="n"/>
      <c r="E22" s="337" t="n"/>
      <c r="F22" s="32" t="n"/>
      <c r="G22" s="32">
        <f>SUM(G20:G21)</f>
        <v/>
      </c>
      <c r="H22" s="260">
        <f>G22/G32</f>
        <v/>
      </c>
      <c r="I22" s="129" t="n"/>
      <c r="J22" s="32">
        <f>SUM(J20:J21)</f>
        <v/>
      </c>
    </row>
    <row r="23" hidden="1" outlineLevel="1" ht="14.25" customFormat="1" customHeight="1" s="197">
      <c r="A23" s="257" t="n">
        <v>5</v>
      </c>
      <c r="B23" s="177" t="inlineStr">
        <is>
          <t>91.14.04-003</t>
        </is>
      </c>
      <c r="C23" s="171" t="inlineStr">
        <is>
          <t>Тягачи седельные, грузоподъемность 30 т</t>
        </is>
      </c>
      <c r="D23" s="275" t="inlineStr">
        <is>
          <t>маш.час</t>
        </is>
      </c>
      <c r="E23" s="275" t="n">
        <v>16.7</v>
      </c>
      <c r="F23" s="178" t="n">
        <v>120.31</v>
      </c>
      <c r="G23" s="32">
        <f>ROUND(E23*F23,2)</f>
        <v/>
      </c>
      <c r="H23" s="130">
        <f>G23/$G$32</f>
        <v/>
      </c>
      <c r="I23" s="32">
        <f>ROUND(F23*'Прил. 10'!$D$12,2)</f>
        <v/>
      </c>
      <c r="J23" s="32">
        <f>ROUND(I23*E23,2)</f>
        <v/>
      </c>
    </row>
    <row r="24" hidden="1" outlineLevel="1" ht="25.5" customFormat="1" customHeight="1" s="197">
      <c r="A24" s="257" t="n">
        <v>6</v>
      </c>
      <c r="B24" s="177" t="inlineStr">
        <is>
          <t>91.05.13-001</t>
        </is>
      </c>
      <c r="C24" s="171" t="inlineStr">
        <is>
          <t>Автомобили бортовые, грузоподъемность до 6 т, с краном-манипулятором-4,0 т</t>
        </is>
      </c>
      <c r="D24" s="275" t="inlineStr">
        <is>
          <t>маш.час</t>
        </is>
      </c>
      <c r="E24" s="275" t="n">
        <v>2.2</v>
      </c>
      <c r="F24" s="178" t="n">
        <v>288.03</v>
      </c>
      <c r="G24" s="32">
        <f>ROUND(E24*F24,2)</f>
        <v/>
      </c>
      <c r="H24" s="130">
        <f>G24/$G$32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97">
      <c r="A25" s="257" t="n">
        <v>7</v>
      </c>
      <c r="B25" s="177" t="inlineStr">
        <is>
          <t>91.11.01-021</t>
        </is>
      </c>
      <c r="C25" s="171" t="inlineStr">
        <is>
          <t>Устройства подталкивающие для протяжки кабеля, тяговое усилие 800 кг</t>
        </is>
      </c>
      <c r="D25" s="275" t="inlineStr">
        <is>
          <t>маш.час</t>
        </is>
      </c>
      <c r="E25" s="275" t="n">
        <v>24.6</v>
      </c>
      <c r="F25" s="178" t="n">
        <v>25.37</v>
      </c>
      <c r="G25" s="32">
        <f>ROUND(E25*F25,2)</f>
        <v/>
      </c>
      <c r="H25" s="130">
        <f>G25/$G$32</f>
        <v/>
      </c>
      <c r="I25" s="32">
        <f>ROUND(F25*'Прил. 10'!$D$12,2)</f>
        <v/>
      </c>
      <c r="J25" s="32">
        <f>ROUND(I25*E25,2)</f>
        <v/>
      </c>
    </row>
    <row r="26" hidden="1" outlineLevel="1" ht="25.5" customFormat="1" customHeight="1" s="197">
      <c r="A26" s="257" t="n">
        <v>8</v>
      </c>
      <c r="B26" s="177" t="inlineStr">
        <is>
          <t>91.14.05-002</t>
        </is>
      </c>
      <c r="C26" s="171" t="inlineStr">
        <is>
          <t>Полуприцепы-тяжеловозы, грузоподъемность 40 т</t>
        </is>
      </c>
      <c r="D26" s="275" t="inlineStr">
        <is>
          <t>маш.час</t>
        </is>
      </c>
      <c r="E26" s="275" t="n">
        <v>16.7</v>
      </c>
      <c r="F26" s="178" t="n">
        <v>28.65</v>
      </c>
      <c r="G26" s="32">
        <f>ROUND(E26*F26,2)</f>
        <v/>
      </c>
      <c r="H26" s="130">
        <f>G26/$G$32</f>
        <v/>
      </c>
      <c r="I26" s="32">
        <f>ROUND(F26*'Прил. 10'!$D$12,2)</f>
        <v/>
      </c>
      <c r="J26" s="32">
        <f>ROUND(I26*E26,2)</f>
        <v/>
      </c>
    </row>
    <row r="27" hidden="1" outlineLevel="1" ht="25.5" customFormat="1" customHeight="1" s="197">
      <c r="A27" s="257" t="n">
        <v>9</v>
      </c>
      <c r="B27" s="177" t="inlineStr">
        <is>
          <t>91.16.01-002</t>
        </is>
      </c>
      <c r="C27" s="171" t="inlineStr">
        <is>
          <t>Электростанции передвижные, мощность 4 кВт</t>
        </is>
      </c>
      <c r="D27" s="275" t="inlineStr">
        <is>
          <t>маш.час</t>
        </is>
      </c>
      <c r="E27" s="275" t="n">
        <v>11.3</v>
      </c>
      <c r="F27" s="178" t="n">
        <v>27.11</v>
      </c>
      <c r="G27" s="32">
        <f>ROUND(E27*F27,2)</f>
        <v/>
      </c>
      <c r="H27" s="130">
        <f>G27/$G$32</f>
        <v/>
      </c>
      <c r="I27" s="32">
        <f>ROUND(F27*'Прил. 10'!$D$12,2)</f>
        <v/>
      </c>
      <c r="J27" s="32">
        <f>ROUND(I27*E27,2)</f>
        <v/>
      </c>
    </row>
    <row r="28" hidden="1" outlineLevel="1" ht="14.25" customFormat="1" customHeight="1" s="197">
      <c r="A28" s="257" t="n">
        <v>10</v>
      </c>
      <c r="B28" s="177" t="inlineStr">
        <is>
          <t>91.17.04-091</t>
        </is>
      </c>
      <c r="C28" s="171" t="inlineStr">
        <is>
          <t>Горелки газовые инжекторные</t>
        </is>
      </c>
      <c r="D28" s="275" t="inlineStr">
        <is>
          <t>маш.час</t>
        </is>
      </c>
      <c r="E28" s="275" t="n">
        <v>11.3</v>
      </c>
      <c r="F28" s="178" t="n">
        <v>13.5</v>
      </c>
      <c r="G28" s="32">
        <f>ROUND(E28*F28,2)</f>
        <v/>
      </c>
      <c r="H28" s="130">
        <f>G28/$G$32</f>
        <v/>
      </c>
      <c r="I28" s="32">
        <f>ROUND(F28*'Прил. 10'!$D$12,2)</f>
        <v/>
      </c>
      <c r="J28" s="32">
        <f>ROUND(I28*E28,2)</f>
        <v/>
      </c>
    </row>
    <row r="29" hidden="1" outlineLevel="1" ht="14.25" customFormat="1" customHeight="1" s="197">
      <c r="A29" s="257" t="n">
        <v>11</v>
      </c>
      <c r="B29" s="177" t="inlineStr">
        <is>
          <t>91.21.15-022</t>
        </is>
      </c>
      <c r="C29" s="171" t="inlineStr">
        <is>
          <t>Пилы ленточные с поворотной пилорамой</t>
        </is>
      </c>
      <c r="D29" s="275" t="inlineStr">
        <is>
          <t>маш.час</t>
        </is>
      </c>
      <c r="E29" s="275" t="n">
        <v>11.3</v>
      </c>
      <c r="F29" s="178" t="n">
        <v>3.31</v>
      </c>
      <c r="G29" s="32">
        <f>ROUND(E29*F29,2)</f>
        <v/>
      </c>
      <c r="H29" s="130">
        <f>G29/$G$32</f>
        <v/>
      </c>
      <c r="I29" s="32">
        <f>ROUND(F29*'Прил. 10'!$D$12,2)</f>
        <v/>
      </c>
      <c r="J29" s="32">
        <f>ROUND(I29*E29,2)</f>
        <v/>
      </c>
    </row>
    <row r="30" hidden="1" outlineLevel="1" ht="25.5" customFormat="1" customHeight="1" s="197">
      <c r="A30" s="257" t="n">
        <v>12</v>
      </c>
      <c r="B30" s="177" t="inlineStr">
        <is>
          <t>91.06.01-002</t>
        </is>
      </c>
      <c r="C30" s="171" t="inlineStr">
        <is>
          <t>Домкраты гидравлические, грузоподъемность 6,3-25 т</t>
        </is>
      </c>
      <c r="D30" s="275" t="inlineStr">
        <is>
          <t>маш.час</t>
        </is>
      </c>
      <c r="E30" s="275" t="n">
        <v>57.3</v>
      </c>
      <c r="F30" s="178" t="n">
        <v>0.48</v>
      </c>
      <c r="G30" s="32">
        <f>ROUND(E30*F30,2)</f>
        <v/>
      </c>
      <c r="H30" s="130">
        <f>G30/$G$32</f>
        <v/>
      </c>
      <c r="I30" s="32">
        <f>ROUND(F30*'Прил. 10'!$D$12,2)</f>
        <v/>
      </c>
      <c r="J30" s="32">
        <f>ROUND(I30*E30,2)</f>
        <v/>
      </c>
    </row>
    <row r="31" collapsed="1" ht="14.25" customFormat="1" customHeight="1" s="197">
      <c r="A31" s="257" t="n"/>
      <c r="B31" s="257" t="n"/>
      <c r="C31" s="256" t="inlineStr">
        <is>
          <t>Итого прочие машины и механизмы</t>
        </is>
      </c>
      <c r="D31" s="257" t="n"/>
      <c r="E31" s="258" t="n"/>
      <c r="F31" s="32" t="n"/>
      <c r="G31" s="129">
        <f>SUM(G23:G30)</f>
        <v/>
      </c>
      <c r="H31" s="130">
        <f>G31/G32</f>
        <v/>
      </c>
      <c r="I31" s="32" t="n"/>
      <c r="J31" s="32">
        <f>SUM(J23:J30)</f>
        <v/>
      </c>
    </row>
    <row r="32" ht="25.5" customFormat="1" customHeight="1" s="197">
      <c r="A32" s="257" t="n"/>
      <c r="B32" s="257" t="n"/>
      <c r="C32" s="246" t="inlineStr">
        <is>
          <t>Итого по разделу «Машины и механизмы»</t>
        </is>
      </c>
      <c r="D32" s="257" t="n"/>
      <c r="E32" s="258" t="n"/>
      <c r="F32" s="32" t="n"/>
      <c r="G32" s="32">
        <f>G31+G22</f>
        <v/>
      </c>
      <c r="H32" s="131" t="n">
        <v>1</v>
      </c>
      <c r="I32" s="132" t="n"/>
      <c r="J32" s="133">
        <f>J31+J22</f>
        <v/>
      </c>
    </row>
    <row r="33" ht="14.25" customFormat="1" customHeight="1" s="197">
      <c r="A33" s="257" t="n"/>
      <c r="B33" s="246" t="inlineStr">
        <is>
          <t>Оборудование</t>
        </is>
      </c>
      <c r="C33" s="329" t="n"/>
      <c r="D33" s="329" t="n"/>
      <c r="E33" s="329" t="n"/>
      <c r="F33" s="329" t="n"/>
      <c r="G33" s="329" t="n"/>
      <c r="H33" s="330" t="n"/>
      <c r="I33" s="127" t="n"/>
      <c r="J33" s="127" t="n"/>
    </row>
    <row r="34">
      <c r="A34" s="257" t="n"/>
      <c r="B34" s="256" t="inlineStr">
        <is>
          <t>Основное оборудование</t>
        </is>
      </c>
      <c r="C34" s="329" t="n"/>
      <c r="D34" s="329" t="n"/>
      <c r="E34" s="329" t="n"/>
      <c r="F34" s="329" t="n"/>
      <c r="G34" s="329" t="n"/>
      <c r="H34" s="330" t="n"/>
      <c r="I34" s="127" t="n"/>
      <c r="J34" s="127" t="n"/>
    </row>
    <row r="35">
      <c r="A35" s="257" t="n"/>
      <c r="B35" s="257" t="n"/>
      <c r="C35" s="256" t="inlineStr">
        <is>
          <t>Итого основное оборудование</t>
        </is>
      </c>
      <c r="D35" s="257" t="n"/>
      <c r="E35" s="339" t="n"/>
      <c r="F35" s="259" t="n"/>
      <c r="G35" s="32" t="n">
        <v>0</v>
      </c>
      <c r="H35" s="130" t="n">
        <v>0</v>
      </c>
      <c r="I35" s="129" t="n"/>
      <c r="J35" s="32" t="n">
        <v>0</v>
      </c>
    </row>
    <row r="36">
      <c r="A36" s="257" t="n"/>
      <c r="B36" s="257" t="n"/>
      <c r="C36" s="256" t="inlineStr">
        <is>
          <t>Итого прочее оборудование</t>
        </is>
      </c>
      <c r="D36" s="257" t="n"/>
      <c r="E36" s="337" t="n"/>
      <c r="F36" s="259" t="n"/>
      <c r="G36" s="32" t="n">
        <v>0</v>
      </c>
      <c r="H36" s="130" t="n">
        <v>0</v>
      </c>
      <c r="I36" s="129" t="n"/>
      <c r="J36" s="32" t="n">
        <v>0</v>
      </c>
    </row>
    <row r="37">
      <c r="A37" s="257" t="n"/>
      <c r="B37" s="257" t="n"/>
      <c r="C37" s="246" t="inlineStr">
        <is>
          <t>Итого по разделу «Оборудование»</t>
        </is>
      </c>
      <c r="D37" s="257" t="n"/>
      <c r="E37" s="258" t="n"/>
      <c r="F37" s="259" t="n"/>
      <c r="G37" s="32">
        <f>G35+G36</f>
        <v/>
      </c>
      <c r="H37" s="130" t="n">
        <v>0</v>
      </c>
      <c r="I37" s="129" t="n"/>
      <c r="J37" s="32">
        <f>J36+J35</f>
        <v/>
      </c>
    </row>
    <row r="38" ht="25.5" customHeight="1" s="212">
      <c r="A38" s="257" t="n"/>
      <c r="B38" s="257" t="n"/>
      <c r="C38" s="256" t="inlineStr">
        <is>
          <t>в том числе технологическое оборудование</t>
        </is>
      </c>
      <c r="D38" s="257" t="n"/>
      <c r="E38" s="339" t="n"/>
      <c r="F38" s="259" t="n"/>
      <c r="G38" s="32">
        <f>'Прил.6 Расчет ОБ'!G12</f>
        <v/>
      </c>
      <c r="H38" s="260" t="n"/>
      <c r="I38" s="129" t="n"/>
      <c r="J38" s="32">
        <f>J37</f>
        <v/>
      </c>
    </row>
    <row r="39" ht="14.25" customFormat="1" customHeight="1" s="197">
      <c r="A39" s="257" t="n"/>
      <c r="B39" s="246" t="inlineStr">
        <is>
          <t>Материалы</t>
        </is>
      </c>
      <c r="C39" s="329" t="n"/>
      <c r="D39" s="329" t="n"/>
      <c r="E39" s="329" t="n"/>
      <c r="F39" s="329" t="n"/>
      <c r="G39" s="329" t="n"/>
      <c r="H39" s="330" t="n"/>
      <c r="I39" s="127" t="n"/>
      <c r="J39" s="127" t="n"/>
    </row>
    <row r="40" ht="14.25" customFormat="1" customHeight="1" s="197">
      <c r="A40" s="252" t="n"/>
      <c r="B40" s="251" t="inlineStr">
        <is>
          <t>Основные материалы</t>
        </is>
      </c>
      <c r="C40" s="340" t="n"/>
      <c r="D40" s="340" t="n"/>
      <c r="E40" s="340" t="n"/>
      <c r="F40" s="340" t="n"/>
      <c r="G40" s="340" t="n"/>
      <c r="H40" s="341" t="n"/>
      <c r="I40" s="140" t="n"/>
      <c r="J40" s="140" t="n"/>
    </row>
    <row r="41" ht="38.25" customFormat="1" customHeight="1" s="197">
      <c r="A41" s="257" t="n">
        <v>5</v>
      </c>
      <c r="B41" s="257" t="inlineStr">
        <is>
          <t>БЦ.85.395</t>
        </is>
      </c>
      <c r="C41" s="171" t="inlineStr">
        <is>
          <t>Кабель медный 500 кВ с системой термомониторинга сечение жилы 1600 мм2, сечение экрана 350 мм2</t>
        </is>
      </c>
      <c r="D41" s="257" t="inlineStr">
        <is>
          <t>км</t>
        </is>
      </c>
      <c r="E41" s="339">
        <f>1*3.3</f>
        <v/>
      </c>
      <c r="F41" s="259">
        <f>ROUND(I41/'Прил. 10'!$D$13,2)</f>
        <v/>
      </c>
      <c r="G41" s="32">
        <f>ROUND(E41*F41,2)</f>
        <v/>
      </c>
      <c r="H41" s="130">
        <f>G41/$G$45</f>
        <v/>
      </c>
      <c r="I41" s="32" t="n">
        <v>53531656.49</v>
      </c>
      <c r="J41" s="32">
        <f>ROUND(I41*E41,2)</f>
        <v/>
      </c>
    </row>
    <row r="42" ht="14.25" customFormat="1" customHeight="1" s="197">
      <c r="A42" s="268" t="n"/>
      <c r="B42" s="142" t="n"/>
      <c r="C42" s="143" t="inlineStr">
        <is>
          <t>Итого основные материалы</t>
        </is>
      </c>
      <c r="D42" s="268" t="n"/>
      <c r="E42" s="342" t="n"/>
      <c r="F42" s="133" t="n"/>
      <c r="G42" s="133">
        <f>SUM(G41:G41)</f>
        <v/>
      </c>
      <c r="H42" s="130">
        <f>G42/$G$45</f>
        <v/>
      </c>
      <c r="I42" s="32" t="n"/>
      <c r="J42" s="133">
        <f>SUM(J41:J41)</f>
        <v/>
      </c>
    </row>
    <row r="43" hidden="1" outlineLevel="1" ht="14.25" customFormat="1" customHeight="1" s="197">
      <c r="A43" s="257" t="n">
        <v>6</v>
      </c>
      <c r="B43" s="177" t="inlineStr">
        <is>
          <t>01.3.02.09-0022</t>
        </is>
      </c>
      <c r="C43" s="171" t="inlineStr">
        <is>
          <t>Пропан-бутан смесь техническая</t>
        </is>
      </c>
      <c r="D43" s="275" t="inlineStr">
        <is>
          <t>кг</t>
        </is>
      </c>
      <c r="E43" s="338" t="n">
        <v>3.617</v>
      </c>
      <c r="F43" s="169" t="n">
        <v>6.09</v>
      </c>
      <c r="G43" s="32">
        <f>ROUND(E43*F43,2)</f>
        <v/>
      </c>
      <c r="H43" s="130">
        <f>G43/$G$45</f>
        <v/>
      </c>
      <c r="I43" s="32">
        <f>ROUND(F43*'Прил. 10'!$D$13,2)</f>
        <v/>
      </c>
      <c r="J43" s="32">
        <f>ROUND(I43*E43,2)</f>
        <v/>
      </c>
    </row>
    <row r="44" collapsed="1" ht="14.25" customFormat="1" customHeight="1" s="197">
      <c r="A44" s="257" t="n"/>
      <c r="B44" s="257" t="n"/>
      <c r="C44" s="256" t="inlineStr">
        <is>
          <t>Итого прочие материалы</t>
        </is>
      </c>
      <c r="D44" s="257" t="n"/>
      <c r="E44" s="339" t="n"/>
      <c r="F44" s="259" t="n"/>
      <c r="G44" s="32">
        <f>SUM(G43:G43)</f>
        <v/>
      </c>
      <c r="H44" s="130">
        <f>G44/$G$45</f>
        <v/>
      </c>
      <c r="I44" s="32" t="n"/>
      <c r="J44" s="32">
        <f>SUM(J43:J43)</f>
        <v/>
      </c>
    </row>
    <row r="45" ht="14.25" customFormat="1" customHeight="1" s="197">
      <c r="A45" s="257" t="n"/>
      <c r="B45" s="257" t="n"/>
      <c r="C45" s="246" t="inlineStr">
        <is>
          <t>Итого по разделу «Материалы»</t>
        </is>
      </c>
      <c r="D45" s="257" t="n"/>
      <c r="E45" s="258" t="n"/>
      <c r="F45" s="259" t="n"/>
      <c r="G45" s="32">
        <f>G42+G44</f>
        <v/>
      </c>
      <c r="H45" s="260">
        <f>G45/$G$45</f>
        <v/>
      </c>
      <c r="I45" s="32" t="n"/>
      <c r="J45" s="32">
        <f>J42+J44</f>
        <v/>
      </c>
    </row>
    <row r="46" ht="14.25" customFormat="1" customHeight="1" s="197">
      <c r="A46" s="257" t="n"/>
      <c r="B46" s="257" t="n"/>
      <c r="C46" s="256" t="inlineStr">
        <is>
          <t>ИТОГО ПО РМ</t>
        </is>
      </c>
      <c r="D46" s="257" t="n"/>
      <c r="E46" s="258" t="n"/>
      <c r="F46" s="259" t="n"/>
      <c r="G46" s="32">
        <f>G15+G32+G45</f>
        <v/>
      </c>
      <c r="H46" s="260" t="n"/>
      <c r="I46" s="32" t="n"/>
      <c r="J46" s="32">
        <f>J15+J32+J45</f>
        <v/>
      </c>
    </row>
    <row r="47" ht="14.25" customFormat="1" customHeight="1" s="197">
      <c r="A47" s="257" t="n"/>
      <c r="B47" s="257" t="n"/>
      <c r="C47" s="256" t="inlineStr">
        <is>
          <t>Накладные расходы</t>
        </is>
      </c>
      <c r="D47" s="135">
        <f>ROUND(G47/(G$17+$G$15),2)</f>
        <v/>
      </c>
      <c r="E47" s="258" t="n"/>
      <c r="F47" s="259" t="n"/>
      <c r="G47" s="32" t="n">
        <v>15336.38</v>
      </c>
      <c r="H47" s="260" t="n"/>
      <c r="I47" s="32" t="n"/>
      <c r="J47" s="32">
        <f>ROUND(D47*(J15+J17),2)</f>
        <v/>
      </c>
    </row>
    <row r="48" ht="14.25" customFormat="1" customHeight="1" s="197">
      <c r="A48" s="257" t="n"/>
      <c r="B48" s="257" t="n"/>
      <c r="C48" s="256" t="inlineStr">
        <is>
          <t>Сметная прибыль</t>
        </is>
      </c>
      <c r="D48" s="135">
        <f>ROUND(G48/(G$15+G$17),2)</f>
        <v/>
      </c>
      <c r="E48" s="258" t="n"/>
      <c r="F48" s="259" t="n"/>
      <c r="G48" s="32" t="n">
        <v>8063.46</v>
      </c>
      <c r="H48" s="260" t="n"/>
      <c r="I48" s="32" t="n"/>
      <c r="J48" s="32">
        <f>ROUND(D48*(J15+J17),2)</f>
        <v/>
      </c>
    </row>
    <row r="49" ht="14.25" customFormat="1" customHeight="1" s="197">
      <c r="A49" s="257" t="n"/>
      <c r="B49" s="257" t="n"/>
      <c r="C49" s="256" t="inlineStr">
        <is>
          <t>Итого СМР (с НР и СП)</t>
        </is>
      </c>
      <c r="D49" s="257" t="n"/>
      <c r="E49" s="258" t="n"/>
      <c r="F49" s="259" t="n"/>
      <c r="G49" s="32">
        <f>G15+G32+G45+G47+G48</f>
        <v/>
      </c>
      <c r="H49" s="260" t="n"/>
      <c r="I49" s="32" t="n"/>
      <c r="J49" s="32">
        <f>J15+J32+J45+J47+J48</f>
        <v/>
      </c>
    </row>
    <row r="50" ht="14.25" customFormat="1" customHeight="1" s="197">
      <c r="A50" s="257" t="n"/>
      <c r="B50" s="257" t="n"/>
      <c r="C50" s="256" t="inlineStr">
        <is>
          <t>ВСЕГО СМР + ОБОРУДОВАНИЕ</t>
        </is>
      </c>
      <c r="D50" s="257" t="n"/>
      <c r="E50" s="258" t="n"/>
      <c r="F50" s="259" t="n"/>
      <c r="G50" s="32">
        <f>G49+G37</f>
        <v/>
      </c>
      <c r="H50" s="260" t="n"/>
      <c r="I50" s="32" t="n"/>
      <c r="J50" s="32">
        <f>J49+J37</f>
        <v/>
      </c>
    </row>
    <row r="51" ht="34.5" customFormat="1" customHeight="1" s="197">
      <c r="A51" s="257" t="n"/>
      <c r="B51" s="257" t="n"/>
      <c r="C51" s="256" t="inlineStr">
        <is>
          <t>ИТОГО ПОКАЗАТЕЛЬ НА ЕД. ИЗМ.</t>
        </is>
      </c>
      <c r="D51" s="257" t="inlineStr">
        <is>
          <t>1 км</t>
        </is>
      </c>
      <c r="E51" s="339" t="n">
        <v>1</v>
      </c>
      <c r="F51" s="259" t="n"/>
      <c r="G51" s="32">
        <f>G50/E51</f>
        <v/>
      </c>
      <c r="H51" s="260" t="n"/>
      <c r="I51" s="32" t="n"/>
      <c r="J51" s="32">
        <f>J50/E51</f>
        <v/>
      </c>
    </row>
    <row r="53" ht="14.25" customFormat="1" customHeight="1" s="197">
      <c r="A53" s="196" t="inlineStr">
        <is>
          <t>Составил ______________________    А.Р. Маркова</t>
        </is>
      </c>
    </row>
    <row r="54" ht="14.25" customFormat="1" customHeight="1" s="197">
      <c r="A54" s="199" t="inlineStr">
        <is>
          <t xml:space="preserve">                         (подпись, инициалы, фамилия)</t>
        </is>
      </c>
    </row>
    <row r="55" ht="14.25" customFormat="1" customHeight="1" s="197">
      <c r="A55" s="196" t="n"/>
    </row>
    <row r="56" ht="14.25" customFormat="1" customHeight="1" s="197">
      <c r="A56" s="196" t="inlineStr">
        <is>
          <t>Проверил ______________________        А.В. Костянецкая</t>
        </is>
      </c>
    </row>
    <row r="57" ht="14.25" customFormat="1" customHeight="1" s="197">
      <c r="A57" s="199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style="212" min="1" max="1"/>
    <col width="17.5703125" customWidth="1" style="212" min="2" max="2"/>
    <col width="39.140625" customWidth="1" style="212" min="3" max="3"/>
    <col width="10.7109375" customWidth="1" style="212" min="4" max="4"/>
    <col width="13.85546875" customWidth="1" style="212" min="5" max="5"/>
    <col width="13.28515625" customWidth="1" style="212" min="6" max="6"/>
    <col width="14.140625" customWidth="1" style="212" min="7" max="7"/>
  </cols>
  <sheetData>
    <row r="1">
      <c r="A1" s="270" t="inlineStr">
        <is>
          <t>Приложение №6</t>
        </is>
      </c>
    </row>
    <row r="2" ht="21.75" customHeight="1" s="212">
      <c r="A2" s="270" t="n"/>
      <c r="B2" s="270" t="n"/>
      <c r="C2" s="270" t="n"/>
      <c r="D2" s="270" t="n"/>
      <c r="E2" s="270" t="n"/>
      <c r="F2" s="270" t="n"/>
      <c r="G2" s="270" t="n"/>
    </row>
    <row r="3">
      <c r="A3" s="228" t="inlineStr">
        <is>
          <t>Расчет стоимости оборудования</t>
        </is>
      </c>
    </row>
    <row r="4" ht="25.5" customHeight="1" s="212">
      <c r="A4" s="231" t="inlineStr">
        <is>
          <t>Наименование разрабатываемого показателя УНЦ — КЛ 500 кВ с системой термомониторинга сечение жилы 1600 мм2, сечение экрана 350 мм2</t>
        </is>
      </c>
    </row>
    <row r="5">
      <c r="A5" s="196" t="n"/>
      <c r="B5" s="196" t="n"/>
      <c r="C5" s="196" t="n"/>
      <c r="D5" s="196" t="n"/>
      <c r="E5" s="196" t="n"/>
      <c r="F5" s="196" t="n"/>
      <c r="G5" s="196" t="n"/>
    </row>
    <row r="6" ht="30" customHeight="1" s="212">
      <c r="A6" s="275" t="inlineStr">
        <is>
          <t>№ пп.</t>
        </is>
      </c>
      <c r="B6" s="275" t="inlineStr">
        <is>
          <t>Код ресурса</t>
        </is>
      </c>
      <c r="C6" s="275" t="inlineStr">
        <is>
          <t>Наименование</t>
        </is>
      </c>
      <c r="D6" s="275" t="inlineStr">
        <is>
          <t>Ед. изм.</t>
        </is>
      </c>
      <c r="E6" s="257" t="inlineStr">
        <is>
          <t>Кол-во единиц по проектным данным</t>
        </is>
      </c>
      <c r="F6" s="275" t="inlineStr">
        <is>
          <t>Сметная стоимость в ценах на 01.01.2000 (руб.)</t>
        </is>
      </c>
      <c r="G6" s="330" t="n"/>
    </row>
    <row r="7">
      <c r="A7" s="332" t="n"/>
      <c r="B7" s="332" t="n"/>
      <c r="C7" s="332" t="n"/>
      <c r="D7" s="332" t="n"/>
      <c r="E7" s="332" t="n"/>
      <c r="F7" s="257" t="inlineStr">
        <is>
          <t>на ед. изм.</t>
        </is>
      </c>
      <c r="G7" s="257" t="inlineStr">
        <is>
          <t>общая</t>
        </is>
      </c>
    </row>
    <row r="8">
      <c r="A8" s="257" t="n">
        <v>1</v>
      </c>
      <c r="B8" s="257" t="n">
        <v>2</v>
      </c>
      <c r="C8" s="257" t="n">
        <v>3</v>
      </c>
      <c r="D8" s="257" t="n">
        <v>4</v>
      </c>
      <c r="E8" s="257" t="n">
        <v>5</v>
      </c>
      <c r="F8" s="257" t="n">
        <v>6</v>
      </c>
      <c r="G8" s="257" t="n">
        <v>7</v>
      </c>
    </row>
    <row r="9" ht="15" customHeight="1" s="212">
      <c r="A9" s="25" t="n"/>
      <c r="B9" s="256" t="inlineStr">
        <is>
          <t>ИНЖЕНЕРНОЕ ОБОРУДОВАНИЕ</t>
        </is>
      </c>
      <c r="C9" s="329" t="n"/>
      <c r="D9" s="329" t="n"/>
      <c r="E9" s="329" t="n"/>
      <c r="F9" s="329" t="n"/>
      <c r="G9" s="330" t="n"/>
    </row>
    <row r="10" ht="27" customHeight="1" s="212">
      <c r="A10" s="257" t="n"/>
      <c r="B10" s="246" t="n"/>
      <c r="C10" s="256" t="inlineStr">
        <is>
          <t>ИТОГО ИНЖЕНЕРНОЕ ОБОРУДОВАНИЕ</t>
        </is>
      </c>
      <c r="D10" s="246" t="n"/>
      <c r="E10" s="105" t="n"/>
      <c r="F10" s="259" t="n"/>
      <c r="G10" s="259" t="n">
        <v>0</v>
      </c>
    </row>
    <row r="11">
      <c r="A11" s="257" t="n"/>
      <c r="B11" s="256" t="inlineStr">
        <is>
          <t>ТЕХНОЛОГИЧЕСКОЕ ОБОРУДОВАНИЕ</t>
        </is>
      </c>
      <c r="C11" s="329" t="n"/>
      <c r="D11" s="329" t="n"/>
      <c r="E11" s="329" t="n"/>
      <c r="F11" s="329" t="n"/>
      <c r="G11" s="330" t="n"/>
    </row>
    <row r="12" ht="25.5" customHeight="1" s="212">
      <c r="A12" s="257" t="n"/>
      <c r="B12" s="256" t="n"/>
      <c r="C12" s="256" t="inlineStr">
        <is>
          <t>ИТОГО ТЕХНОЛОГИЧЕСКОЕ ОБОРУДОВАНИЕ</t>
        </is>
      </c>
      <c r="D12" s="256" t="n"/>
      <c r="E12" s="274" t="n"/>
      <c r="F12" s="259" t="n"/>
      <c r="G12" s="32" t="n">
        <v>0</v>
      </c>
    </row>
    <row r="13" ht="19.5" customHeight="1" s="212">
      <c r="A13" s="257" t="n"/>
      <c r="B13" s="256" t="n"/>
      <c r="C13" s="256" t="inlineStr">
        <is>
          <t>Всего по разделу «Оборудование»</t>
        </is>
      </c>
      <c r="D13" s="256" t="n"/>
      <c r="E13" s="274" t="n"/>
      <c r="F13" s="259" t="n"/>
      <c r="G13" s="32">
        <f>G10+G12</f>
        <v/>
      </c>
    </row>
    <row r="14">
      <c r="A14" s="198" t="n"/>
      <c r="B14" s="106" t="n"/>
      <c r="C14" s="198" t="n"/>
      <c r="D14" s="198" t="n"/>
      <c r="E14" s="198" t="n"/>
      <c r="F14" s="198" t="n"/>
      <c r="G14" s="198" t="n"/>
    </row>
    <row r="15">
      <c r="A15" s="196" t="inlineStr">
        <is>
          <t>Составил ______________________    А.Р. Маркова</t>
        </is>
      </c>
      <c r="B15" s="197" t="n"/>
      <c r="C15" s="197" t="n"/>
      <c r="D15" s="198" t="n"/>
      <c r="E15" s="198" t="n"/>
      <c r="F15" s="198" t="n"/>
      <c r="G15" s="198" t="n"/>
    </row>
    <row r="16">
      <c r="A16" s="199" t="inlineStr">
        <is>
          <t xml:space="preserve">                         (подпись, инициалы, фамилия)</t>
        </is>
      </c>
      <c r="B16" s="197" t="n"/>
      <c r="C16" s="197" t="n"/>
      <c r="D16" s="198" t="n"/>
      <c r="E16" s="198" t="n"/>
      <c r="F16" s="198" t="n"/>
      <c r="G16" s="198" t="n"/>
    </row>
    <row r="17">
      <c r="A17" s="196" t="n"/>
      <c r="B17" s="197" t="n"/>
      <c r="C17" s="197" t="n"/>
      <c r="D17" s="198" t="n"/>
      <c r="E17" s="198" t="n"/>
      <c r="F17" s="198" t="n"/>
      <c r="G17" s="198" t="n"/>
    </row>
    <row r="18">
      <c r="A18" s="196" t="inlineStr">
        <is>
          <t>Проверил ______________________        А.В. Костянецкая</t>
        </is>
      </c>
      <c r="B18" s="197" t="n"/>
      <c r="C18" s="197" t="n"/>
      <c r="D18" s="198" t="n"/>
      <c r="E18" s="198" t="n"/>
      <c r="F18" s="198" t="n"/>
      <c r="G18" s="198" t="n"/>
    </row>
    <row r="19">
      <c r="A19" s="199" t="inlineStr">
        <is>
          <t xml:space="preserve">                        (подпись, инициалы, фамилия)</t>
        </is>
      </c>
      <c r="B19" s="197" t="n"/>
      <c r="C19" s="197" t="n"/>
      <c r="D19" s="198" t="n"/>
      <c r="E19" s="198" t="n"/>
      <c r="F19" s="198" t="n"/>
      <c r="G19" s="19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212" min="1" max="1"/>
    <col width="22.42578125" customWidth="1" style="212" min="2" max="2"/>
    <col width="37.140625" customWidth="1" style="212" min="3" max="3"/>
    <col width="49" customWidth="1" style="212" min="4" max="4"/>
    <col width="9.140625" customWidth="1" style="212" min="5" max="5"/>
  </cols>
  <sheetData>
    <row r="1" ht="15.75" customHeight="1" s="212">
      <c r="A1" s="214" t="n"/>
      <c r="B1" s="214" t="n"/>
      <c r="C1" s="214" t="n"/>
      <c r="D1" s="214" t="inlineStr">
        <is>
          <t>Приложение №7</t>
        </is>
      </c>
    </row>
    <row r="2" ht="15.75" customHeight="1" s="212">
      <c r="A2" s="214" t="n"/>
      <c r="B2" s="214" t="n"/>
      <c r="C2" s="214" t="n"/>
      <c r="D2" s="214" t="n"/>
    </row>
    <row r="3" ht="15.75" customHeight="1" s="212">
      <c r="A3" s="214" t="n"/>
      <c r="B3" s="191" t="inlineStr">
        <is>
          <t>Расчет показателя УНЦ</t>
        </is>
      </c>
      <c r="C3" s="214" t="n"/>
      <c r="D3" s="214" t="n"/>
    </row>
    <row r="4" ht="15.75" customHeight="1" s="212">
      <c r="A4" s="214" t="n"/>
      <c r="B4" s="214" t="n"/>
      <c r="C4" s="214" t="n"/>
      <c r="D4" s="214" t="n"/>
    </row>
    <row r="5" ht="47.25" customHeight="1" s="212">
      <c r="A5" s="276" t="inlineStr">
        <is>
          <t xml:space="preserve">Наименование разрабатываемого показателя УНЦ - </t>
        </is>
      </c>
      <c r="D5" s="276">
        <f>'Прил.5 Расчет СМР и ОБ'!D6:J6</f>
        <v/>
      </c>
    </row>
    <row r="6" ht="15.75" customHeight="1" s="212">
      <c r="A6" s="214" t="inlineStr">
        <is>
          <t>Единица измерения  — 1 км</t>
        </is>
      </c>
      <c r="B6" s="214" t="n"/>
      <c r="C6" s="214" t="n"/>
      <c r="D6" s="214" t="n"/>
    </row>
    <row r="7" ht="15.75" customHeight="1" s="212">
      <c r="A7" s="214" t="n"/>
      <c r="B7" s="214" t="n"/>
      <c r="C7" s="214" t="n"/>
      <c r="D7" s="214" t="n"/>
    </row>
    <row r="8">
      <c r="A8" s="243" t="inlineStr">
        <is>
          <t>Код показателя</t>
        </is>
      </c>
      <c r="B8" s="243" t="inlineStr">
        <is>
          <t>Наименование показателя</t>
        </is>
      </c>
      <c r="C8" s="243" t="inlineStr">
        <is>
          <t>Наименование РМ, входящих в состав показателя</t>
        </is>
      </c>
      <c r="D8" s="243" t="inlineStr">
        <is>
          <t>Норматив цены на 01.01.2023, тыс.руб.</t>
        </is>
      </c>
    </row>
    <row r="9">
      <c r="A9" s="332" t="n"/>
      <c r="B9" s="332" t="n"/>
      <c r="C9" s="332" t="n"/>
      <c r="D9" s="332" t="n"/>
    </row>
    <row r="10" ht="15.75" customHeight="1" s="212">
      <c r="A10" s="243" t="n">
        <v>1</v>
      </c>
      <c r="B10" s="243" t="n">
        <v>2</v>
      </c>
      <c r="C10" s="243" t="n">
        <v>3</v>
      </c>
      <c r="D10" s="243" t="n">
        <v>4</v>
      </c>
    </row>
    <row r="11" ht="47.25" customHeight="1" s="212">
      <c r="A11" s="243" t="inlineStr">
        <is>
          <t>К4-19-4</t>
        </is>
      </c>
      <c r="B11" s="243" t="inlineStr">
        <is>
          <t xml:space="preserve">УНЦ КЛ 110 - 500 кВ с системой термомониторинга  </t>
        </is>
      </c>
      <c r="C11" s="194">
        <f>D5</f>
        <v/>
      </c>
      <c r="D11" s="220">
        <f>'Прил.4 РМ'!C41/1000</f>
        <v/>
      </c>
    </row>
    <row r="13">
      <c r="A13" s="196" t="inlineStr">
        <is>
          <t>Составил ______________________    А.Р. Маркова</t>
        </is>
      </c>
      <c r="B13" s="197" t="n"/>
      <c r="C13" s="197" t="n"/>
      <c r="D13" s="198" t="n"/>
    </row>
    <row r="14">
      <c r="A14" s="199" t="inlineStr">
        <is>
          <t xml:space="preserve">                         (подпись, инициалы, фамилия)</t>
        </is>
      </c>
      <c r="B14" s="197" t="n"/>
      <c r="C14" s="197" t="n"/>
      <c r="D14" s="198" t="n"/>
    </row>
    <row r="15">
      <c r="A15" s="196" t="n"/>
      <c r="B15" s="197" t="n"/>
      <c r="C15" s="197" t="n"/>
      <c r="D15" s="198" t="n"/>
    </row>
    <row r="16">
      <c r="A16" s="196" t="inlineStr">
        <is>
          <t>Проверил ______________________        А.В. Костянецкая</t>
        </is>
      </c>
      <c r="B16" s="197" t="n"/>
      <c r="C16" s="197" t="n"/>
      <c r="D16" s="198" t="n"/>
    </row>
    <row r="17" ht="20.25" customHeight="1" s="212">
      <c r="A17" s="199" t="inlineStr">
        <is>
          <t xml:space="preserve">                        (подпись, инициалы, фамилия)</t>
        </is>
      </c>
      <c r="B17" s="197" t="n"/>
      <c r="C17" s="197" t="n"/>
      <c r="D17" s="19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9" zoomScale="60" zoomScaleNormal="85" workbookViewId="0">
      <selection activeCell="C25" sqref="C25"/>
    </sheetView>
  </sheetViews>
  <sheetFormatPr baseColWidth="8" defaultColWidth="9.140625" defaultRowHeight="15"/>
  <cols>
    <col width="40.7109375" customWidth="1" style="212" min="2" max="2"/>
    <col width="37" customWidth="1" style="212" min="3" max="3"/>
    <col width="32" customWidth="1" style="212" min="4" max="4"/>
  </cols>
  <sheetData>
    <row r="4" ht="15.75" customHeight="1" s="212">
      <c r="B4" s="238" t="inlineStr">
        <is>
          <t>Приложение № 10</t>
        </is>
      </c>
    </row>
    <row r="5" ht="18.75" customHeight="1" s="212">
      <c r="B5" s="120" t="n"/>
    </row>
    <row r="6" ht="15.75" customHeight="1" s="212">
      <c r="B6" s="239" t="inlineStr">
        <is>
          <t>Используемые индексы изменений сметной стоимости и нормы сопутствующих затрат</t>
        </is>
      </c>
    </row>
    <row r="7">
      <c r="B7" s="277" t="n"/>
    </row>
    <row r="8">
      <c r="B8" s="277" t="n"/>
      <c r="C8" s="277" t="n"/>
      <c r="D8" s="277" t="n"/>
      <c r="E8" s="277" t="n"/>
    </row>
    <row r="9" ht="47.25" customHeight="1" s="212">
      <c r="B9" s="243" t="inlineStr">
        <is>
          <t>Наименование индекса / норм сопутствующих затрат</t>
        </is>
      </c>
      <c r="C9" s="243" t="inlineStr">
        <is>
          <t>Дата применения и обоснование индекса / норм сопутствующих затрат</t>
        </is>
      </c>
      <c r="D9" s="243" t="inlineStr">
        <is>
          <t>Размер индекса / норма сопутствующих затрат</t>
        </is>
      </c>
    </row>
    <row r="10" ht="15.75" customHeight="1" s="212">
      <c r="B10" s="243" t="n">
        <v>1</v>
      </c>
      <c r="C10" s="243" t="n">
        <v>2</v>
      </c>
      <c r="D10" s="243" t="n">
        <v>3</v>
      </c>
    </row>
    <row r="11" ht="45" customHeight="1" s="212">
      <c r="B11" s="243" t="inlineStr">
        <is>
          <t xml:space="preserve">Индекс изменения сметной стоимости на 1 квартал 2023 года. ОЗП </t>
        </is>
      </c>
      <c r="C11" s="243" t="inlineStr">
        <is>
          <t>Письмо Минстроя России от 30.03.2023г. №17106-ИФ/09  прил.1</t>
        </is>
      </c>
      <c r="D11" s="243" t="n">
        <v>44.29</v>
      </c>
    </row>
    <row r="12" ht="29.25" customHeight="1" s="212">
      <c r="B12" s="243" t="inlineStr">
        <is>
          <t>Индекс изменения сметной стоимости на 1 квартал 2023 года. ЭМ</t>
        </is>
      </c>
      <c r="C12" s="243" t="inlineStr">
        <is>
          <t>Письмо Минстроя России от 30.03.2023г. №17106-ИФ/09  прил.1</t>
        </is>
      </c>
      <c r="D12" s="243" t="n">
        <v>10.77</v>
      </c>
    </row>
    <row r="13" ht="29.25" customHeight="1" s="212">
      <c r="B13" s="243" t="inlineStr">
        <is>
          <t>Индекс изменения сметной стоимости на 1 квартал 2023 года. МАТ</t>
        </is>
      </c>
      <c r="C13" s="243" t="inlineStr">
        <is>
          <t>Письмо Минстроя России от 30.03.2023г. №17106-ИФ/09  прил.1</t>
        </is>
      </c>
      <c r="D13" s="243" t="n">
        <v>4.39</v>
      </c>
    </row>
    <row r="14" ht="30.75" customHeight="1" s="212">
      <c r="B14" s="243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43" t="n">
        <v>6.26</v>
      </c>
    </row>
    <row r="15" ht="89.25" customHeight="1" s="212">
      <c r="B15" s="243" t="inlineStr">
        <is>
          <t>Временные здания и сооружения</t>
        </is>
      </c>
      <c r="C15" s="243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.75" customHeight="1" s="212">
      <c r="B16" s="243" t="inlineStr">
        <is>
          <t>Дополнительные затраты при производстве строительно-монтажных работ в зимнее время</t>
        </is>
      </c>
      <c r="C16" s="24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 s="212">
      <c r="B17" s="243" t="inlineStr">
        <is>
          <t>Строительный контроль</t>
        </is>
      </c>
      <c r="C17" s="243" t="inlineStr">
        <is>
          <t>Постановление Правительства РФ от 21.06.10 г. № 468</t>
        </is>
      </c>
      <c r="D17" s="122" t="n">
        <v>0.0214</v>
      </c>
    </row>
    <row r="18" ht="31.5" customHeight="1" s="212">
      <c r="B18" s="243" t="inlineStr">
        <is>
          <t>Авторский надзор - 0,2%</t>
        </is>
      </c>
      <c r="C18" s="243" t="inlineStr">
        <is>
          <t>Приказ от 4.08.2020 № 421/пр п.173</t>
        </is>
      </c>
      <c r="D18" s="122" t="n">
        <v>0.002</v>
      </c>
    </row>
    <row r="19" ht="24" customHeight="1" s="212">
      <c r="B19" s="243" t="inlineStr">
        <is>
          <t>Непредвиденные расходы</t>
        </is>
      </c>
      <c r="C19" s="243" t="inlineStr">
        <is>
          <t>Приказ от 4.08.2020 № 421/пр п.179</t>
        </is>
      </c>
      <c r="D19" s="122" t="n">
        <v>0.03</v>
      </c>
    </row>
    <row r="20" ht="18.75" customHeight="1" s="212">
      <c r="B20" s="121" t="n"/>
    </row>
    <row r="21" ht="18.75" customHeight="1" s="212">
      <c r="B21" s="121" t="n"/>
    </row>
    <row r="22" ht="18.75" customHeight="1" s="212">
      <c r="B22" s="121" t="n"/>
    </row>
    <row r="23" ht="18.75" customHeight="1" s="212">
      <c r="B23" s="121" t="n"/>
    </row>
    <row r="26">
      <c r="B26" s="196" t="inlineStr">
        <is>
          <t>Составил ______________________        А.Р. Маркова</t>
        </is>
      </c>
      <c r="C26" s="197" t="n"/>
    </row>
    <row r="27">
      <c r="B27" s="199" t="inlineStr">
        <is>
          <t xml:space="preserve">                         (подпись, инициалы, фамилия)</t>
        </is>
      </c>
      <c r="C27" s="197" t="n"/>
    </row>
    <row r="28">
      <c r="B28" s="196" t="n"/>
      <c r="C28" s="197" t="n"/>
    </row>
    <row r="29">
      <c r="B29" s="196" t="inlineStr">
        <is>
          <t>Проверил ______________________        А.В. Костянецкая</t>
        </is>
      </c>
      <c r="C29" s="197" t="n"/>
    </row>
    <row r="30">
      <c r="B30" s="199" t="inlineStr">
        <is>
          <t xml:space="preserve">                        (подпись, инициалы, фамилия)</t>
        </is>
      </c>
      <c r="C30" s="19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12" min="2" max="2"/>
    <col width="13" customWidth="1" style="212" min="3" max="3"/>
    <col width="22.85546875" customWidth="1" style="212" min="4" max="4"/>
    <col width="21.5703125" customWidth="1" style="212" min="5" max="5"/>
    <col width="53.7109375" bestFit="1" customWidth="1" style="212" min="6" max="6"/>
  </cols>
  <sheetData>
    <row r="1" s="212"/>
    <row r="2" ht="17.25" customHeight="1" s="212">
      <c r="A2" s="239" t="inlineStr">
        <is>
          <t>Расчет размера средств на оплату труда рабочих-строителей в текущем уровне цен (ФОТр.тек.)</t>
        </is>
      </c>
    </row>
    <row r="3" s="212"/>
    <row r="4" ht="18" customHeight="1" s="212">
      <c r="A4" s="213" t="inlineStr">
        <is>
          <t>Составлен в уровне цен на 01.01.2023 г.</t>
        </is>
      </c>
      <c r="B4" s="214" t="n"/>
      <c r="C4" s="214" t="n"/>
      <c r="D4" s="214" t="n"/>
      <c r="E4" s="214" t="n"/>
      <c r="F4" s="214" t="n"/>
      <c r="G4" s="214" t="n"/>
    </row>
    <row r="5" ht="15.75" customHeight="1" s="212">
      <c r="A5" s="215" t="inlineStr">
        <is>
          <t>№ пп.</t>
        </is>
      </c>
      <c r="B5" s="215" t="inlineStr">
        <is>
          <t>Наименование элемента</t>
        </is>
      </c>
      <c r="C5" s="215" t="inlineStr">
        <is>
          <t>Обозначение</t>
        </is>
      </c>
      <c r="D5" s="215" t="inlineStr">
        <is>
          <t>Формула</t>
        </is>
      </c>
      <c r="E5" s="215" t="inlineStr">
        <is>
          <t>Величина элемента</t>
        </is>
      </c>
      <c r="F5" s="215" t="inlineStr">
        <is>
          <t>Наименования обосновывающих документов</t>
        </is>
      </c>
      <c r="G5" s="214" t="n"/>
    </row>
    <row r="6" ht="15.75" customHeight="1" s="212">
      <c r="A6" s="215" t="n">
        <v>1</v>
      </c>
      <c r="B6" s="215" t="n">
        <v>2</v>
      </c>
      <c r="C6" s="215" t="n">
        <v>3</v>
      </c>
      <c r="D6" s="215" t="n">
        <v>4</v>
      </c>
      <c r="E6" s="215" t="n">
        <v>5</v>
      </c>
      <c r="F6" s="215" t="n">
        <v>6</v>
      </c>
      <c r="G6" s="214" t="n"/>
    </row>
    <row r="7" ht="110.25" customHeight="1" s="212">
      <c r="A7" s="216" t="inlineStr">
        <is>
          <t>1.1</t>
        </is>
      </c>
      <c r="B7" s="2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3" t="inlineStr">
        <is>
          <t>С1ср</t>
        </is>
      </c>
      <c r="D7" s="243" t="inlineStr">
        <is>
          <t>-</t>
        </is>
      </c>
      <c r="E7" s="219" t="n">
        <v>47872.94</v>
      </c>
      <c r="F7" s="2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4" t="n"/>
    </row>
    <row r="8" ht="31.5" customHeight="1" s="212">
      <c r="A8" s="216" t="inlineStr">
        <is>
          <t>1.2</t>
        </is>
      </c>
      <c r="B8" s="221" t="inlineStr">
        <is>
          <t>Среднегодовое нормативное число часов работы одного рабочего в месяц, часы (ч.)</t>
        </is>
      </c>
      <c r="C8" s="243" t="inlineStr">
        <is>
          <t>tср</t>
        </is>
      </c>
      <c r="D8" s="243" t="inlineStr">
        <is>
          <t>1973ч/12мес.</t>
        </is>
      </c>
      <c r="E8" s="220">
        <f>1973/12</f>
        <v/>
      </c>
      <c r="F8" s="221" t="inlineStr">
        <is>
          <t>Производственный календарь 2023 год
(40-часов.неделя)</t>
        </is>
      </c>
      <c r="G8" s="223" t="n"/>
    </row>
    <row r="9" ht="15.75" customHeight="1" s="212">
      <c r="A9" s="216" t="inlineStr">
        <is>
          <t>1.3</t>
        </is>
      </c>
      <c r="B9" s="221" t="inlineStr">
        <is>
          <t>Коэффициент увеличения</t>
        </is>
      </c>
      <c r="C9" s="243" t="inlineStr">
        <is>
          <t>Кув</t>
        </is>
      </c>
      <c r="D9" s="243" t="inlineStr">
        <is>
          <t>-</t>
        </is>
      </c>
      <c r="E9" s="220" t="n">
        <v>1</v>
      </c>
      <c r="F9" s="221" t="n"/>
      <c r="G9" s="223" t="n"/>
    </row>
    <row r="10" ht="15.75" customHeight="1" s="212">
      <c r="A10" s="216" t="inlineStr">
        <is>
          <t>1.4</t>
        </is>
      </c>
      <c r="B10" s="221" t="inlineStr">
        <is>
          <t>Средний разряд работ</t>
        </is>
      </c>
      <c r="C10" s="243" t="n"/>
      <c r="D10" s="243" t="n"/>
      <c r="E10" s="343" t="n">
        <v>4</v>
      </c>
      <c r="F10" s="221" t="inlineStr">
        <is>
          <t>РТМ</t>
        </is>
      </c>
      <c r="G10" s="223" t="n"/>
    </row>
    <row r="11" ht="78.75" customHeight="1" s="212">
      <c r="A11" s="216" t="inlineStr">
        <is>
          <t>1.5</t>
        </is>
      </c>
      <c r="B11" s="221" t="inlineStr">
        <is>
          <t>Тарифный коэффициент среднего разряда работ</t>
        </is>
      </c>
      <c r="C11" s="243" t="inlineStr">
        <is>
          <t>КТ</t>
        </is>
      </c>
      <c r="D11" s="243" t="inlineStr">
        <is>
          <t>-</t>
        </is>
      </c>
      <c r="E11" s="344" t="n">
        <v>1.34</v>
      </c>
      <c r="F11" s="2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4" t="n"/>
    </row>
    <row r="12" ht="78.75" customHeight="1" s="212">
      <c r="A12" s="226" t="inlineStr">
        <is>
          <t>1.6</t>
        </is>
      </c>
      <c r="B12" s="321" t="inlineStr">
        <is>
          <t>Коэффициент инфляции, определяемый поквартально</t>
        </is>
      </c>
      <c r="C12" s="227" t="inlineStr">
        <is>
          <t>Кинф</t>
        </is>
      </c>
      <c r="D12" s="227" t="inlineStr">
        <is>
          <t>-</t>
        </is>
      </c>
      <c r="E12" s="345" t="n">
        <v>1.139</v>
      </c>
      <c r="F12" s="32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2">
      <c r="A13" s="324" t="inlineStr">
        <is>
          <t>1.7</t>
        </is>
      </c>
      <c r="B13" s="325" t="inlineStr">
        <is>
          <t>Размер средств на оплату труда рабочих-строителей в текущем уровне цен (ФОТр.тек.), руб/чел.-ч</t>
        </is>
      </c>
      <c r="C13" s="326" t="inlineStr">
        <is>
          <t>ФОТр.тек.</t>
        </is>
      </c>
      <c r="D13" s="326" t="inlineStr">
        <is>
          <t>(С1ср/tср*КТ*Т*Кув)*Кинф</t>
        </is>
      </c>
      <c r="E13" s="327">
        <f>((E7*E9/E8)*E11)*E12</f>
        <v/>
      </c>
      <c r="F13" s="32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2025-01-24T12:09:10Z</dcterms:modified>
  <cp:lastModifiedBy>User4</cp:lastModifiedBy>
  <cp:lastPrinted>2023-11-28T11:34:36Z</cp:lastPrinted>
</cp:coreProperties>
</file>