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1325" tabRatio="924" firstSheet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right" vertical="top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167" fontId="16" fillId="0" borderId="0" pivotButton="0" quotePrefix="0" xfId="0"/>
    <xf numFmtId="10" fontId="2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30" fillId="0" borderId="0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view="pageBreakPreview" topLeftCell="A22" zoomScale="85" zoomScaleNormal="55" workbookViewId="0">
      <selection activeCell="D27" sqref="D27"/>
    </sheetView>
  </sheetViews>
  <sheetFormatPr baseColWidth="8" defaultColWidth="9.140625" defaultRowHeight="15.75"/>
  <cols>
    <col width="9.140625" customWidth="1" style="213" min="1" max="2"/>
    <col width="51.7109375" customWidth="1" style="213" min="3" max="3"/>
    <col width="47" customWidth="1" style="213" min="4" max="4"/>
    <col width="37.42578125" customWidth="1" style="213" min="5" max="5"/>
    <col width="9.140625" customWidth="1" style="213" min="6" max="6"/>
  </cols>
  <sheetData>
    <row r="3">
      <c r="B3" s="237" t="inlineStr">
        <is>
          <t>Приложение № 1</t>
        </is>
      </c>
    </row>
    <row r="4">
      <c r="B4" s="238" t="inlineStr">
        <is>
          <t>Сравнительная таблица отбора объекта-представителя</t>
        </is>
      </c>
    </row>
    <row r="5" ht="84" customHeight="1" s="211">
      <c r="B5" s="24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11">
      <c r="B6" s="168" t="n"/>
      <c r="C6" s="168" t="n"/>
      <c r="D6" s="168" t="n"/>
    </row>
    <row r="7" ht="64.5" customHeight="1" s="211">
      <c r="B7" s="239" t="inlineStr">
        <is>
          <t>Наименование разрабатываемого показателя УНЦ -  Муфта концевая 220 кВ сечением до 2500 мм2</t>
        </is>
      </c>
    </row>
    <row r="8" ht="31.5" customHeight="1" s="211">
      <c r="B8" s="239" t="inlineStr">
        <is>
          <t>Сопоставимый уровень цен: 01.01.2001</t>
        </is>
      </c>
    </row>
    <row r="9" ht="15.75" customHeight="1" s="211">
      <c r="B9" s="239" t="inlineStr">
        <is>
          <t>Единица измерения  — 1 ед</t>
        </is>
      </c>
    </row>
    <row r="10">
      <c r="B10" s="239" t="n"/>
    </row>
    <row r="11">
      <c r="B11" s="242" t="inlineStr">
        <is>
          <t>№ п/п</t>
        </is>
      </c>
      <c r="C11" s="242" t="inlineStr">
        <is>
          <t>Параметр</t>
        </is>
      </c>
      <c r="D11" s="242" t="inlineStr">
        <is>
          <t xml:space="preserve">Объект-представитель </t>
        </is>
      </c>
      <c r="E11" s="152" t="n"/>
    </row>
    <row r="12" ht="96.75" customHeight="1" s="211">
      <c r="B12" s="242" t="n">
        <v>1</v>
      </c>
      <c r="C12" s="204" t="inlineStr">
        <is>
          <t>Наименование объекта-представителя</t>
        </is>
      </c>
      <c r="D12" s="242" t="inlineStr">
        <is>
          <t>Строительство ПС 220 кВ "Купчинская" с заходами КЛ 220 кВ (установка силовых трансформаторов мощностью 2х40 МВА, ориентировочная протяженность 0.5 км)</t>
        </is>
      </c>
    </row>
    <row r="13">
      <c r="B13" s="242" t="n">
        <v>2</v>
      </c>
      <c r="C13" s="204" t="inlineStr">
        <is>
          <t>Наименование субъекта Российской Федерации</t>
        </is>
      </c>
      <c r="D13" s="242" t="inlineStr">
        <is>
          <t>Ленинградская область</t>
        </is>
      </c>
    </row>
    <row r="14">
      <c r="B14" s="242" t="n">
        <v>3</v>
      </c>
      <c r="C14" s="204" t="inlineStr">
        <is>
          <t>Климатический район и подрайон</t>
        </is>
      </c>
      <c r="D14" s="242" t="inlineStr">
        <is>
          <t>IIВ</t>
        </is>
      </c>
    </row>
    <row r="15">
      <c r="B15" s="242" t="n">
        <v>4</v>
      </c>
      <c r="C15" s="204" t="inlineStr">
        <is>
          <t>Мощность объекта</t>
        </is>
      </c>
      <c r="D15" s="242" t="n">
        <v>1</v>
      </c>
    </row>
    <row r="16" ht="116.25" customHeight="1" s="211">
      <c r="B16" s="242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0" t="inlineStr">
        <is>
          <t>Муфта концевая 220 кВ сечением до 2500 мм2</t>
        </is>
      </c>
    </row>
    <row r="17" ht="79.5" customHeight="1" s="211">
      <c r="B17" s="242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9" t="n">
        <v>8304.0939535664</v>
      </c>
      <c r="E17" s="167" t="n"/>
    </row>
    <row r="18">
      <c r="B18" s="151" t="inlineStr">
        <is>
          <t>6.1</t>
        </is>
      </c>
      <c r="C18" s="204" t="inlineStr">
        <is>
          <t>строительно-монтажные работы</t>
        </is>
      </c>
      <c r="D18" s="209" t="n">
        <v>7828.0026598</v>
      </c>
    </row>
    <row r="19" ht="15.75" customHeight="1" s="211">
      <c r="B19" s="151" t="inlineStr">
        <is>
          <t>6.2</t>
        </is>
      </c>
      <c r="C19" s="204" t="inlineStr">
        <is>
          <t>оборудование и инвентарь</t>
        </is>
      </c>
      <c r="D19" s="209" t="n">
        <v>0</v>
      </c>
    </row>
    <row r="20" ht="16.5" customHeight="1" s="211">
      <c r="B20" s="151" t="inlineStr">
        <is>
          <t>6.3</t>
        </is>
      </c>
      <c r="C20" s="204" t="inlineStr">
        <is>
          <t>пусконаладочные работы</t>
        </is>
      </c>
      <c r="D20" s="209" t="n">
        <v>0</v>
      </c>
    </row>
    <row r="21" ht="35.25" customHeight="1" s="211">
      <c r="B21" s="151" t="inlineStr">
        <is>
          <t>6.4</t>
        </is>
      </c>
      <c r="C21" s="150" t="inlineStr">
        <is>
          <t>прочие и лимитированные затраты</t>
        </is>
      </c>
      <c r="D21" s="209" t="n">
        <v>476.09129376638</v>
      </c>
    </row>
    <row r="22">
      <c r="B22" s="242" t="n">
        <v>7</v>
      </c>
      <c r="C22" s="150" t="inlineStr">
        <is>
          <t>Сопоставимый уровень цен</t>
        </is>
      </c>
      <c r="D22" s="210" t="inlineStr">
        <is>
          <t>2 кв. 2018 г.</t>
        </is>
      </c>
      <c r="E22" s="148" t="n"/>
    </row>
    <row r="23" ht="123" customHeight="1" s="211">
      <c r="B23" s="242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9" t="n">
        <v>8304.0939535664</v>
      </c>
      <c r="E23" s="167" t="n"/>
    </row>
    <row r="24" ht="60.75" customHeight="1" s="211">
      <c r="B24" s="242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209" t="n">
        <v>8304.0939535664</v>
      </c>
      <c r="E24" s="148" t="n"/>
    </row>
    <row r="25" ht="48" customHeight="1" s="211">
      <c r="B25" s="242" t="n">
        <v>10</v>
      </c>
      <c r="C25" s="204" t="inlineStr">
        <is>
          <t>Примечание</t>
        </is>
      </c>
      <c r="D25" s="242" t="n"/>
    </row>
    <row r="26">
      <c r="B26" s="147" t="n"/>
      <c r="C26" s="146" t="n"/>
      <c r="D26" s="146" t="n"/>
    </row>
    <row r="27" ht="37.5" customHeight="1" s="211">
      <c r="B27" s="145" t="n"/>
    </row>
    <row r="28">
      <c r="B28" s="213" t="inlineStr">
        <is>
          <t>Составил ______________________    А.Р. Маркова</t>
        </is>
      </c>
    </row>
    <row r="29">
      <c r="B29" s="145" t="inlineStr">
        <is>
          <t xml:space="preserve">                         (подпись, инициалы, фамилия)</t>
        </is>
      </c>
    </row>
    <row r="31">
      <c r="B31" s="213" t="inlineStr">
        <is>
          <t>Проверил ______________________        А.В. Костянецкая</t>
        </is>
      </c>
    </row>
    <row r="32">
      <c r="B32" s="14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K22"/>
  <sheetViews>
    <sheetView view="pageBreakPreview" topLeftCell="A4" zoomScale="70" zoomScaleNormal="70" workbookViewId="0">
      <selection activeCell="E18" sqref="E18"/>
    </sheetView>
  </sheetViews>
  <sheetFormatPr baseColWidth="8" defaultColWidth="9.140625" defaultRowHeight="15.75"/>
  <cols>
    <col width="5.5703125" customWidth="1" style="213" min="1" max="1"/>
    <col width="9.140625" customWidth="1" style="213" min="2" max="2"/>
    <col width="39.5703125" customWidth="1" style="213" min="3" max="3"/>
    <col width="13.85546875" customWidth="1" style="213" min="4" max="4"/>
    <col width="24.85546875" customWidth="1" style="213" min="5" max="5"/>
    <col width="15.5703125" customWidth="1" style="213" min="6" max="6"/>
    <col width="14.85546875" customWidth="1" style="213" min="7" max="7"/>
    <col width="16.7109375" customWidth="1" style="213" min="8" max="8"/>
    <col width="13" customWidth="1" style="213" min="9" max="10"/>
    <col width="18" customWidth="1" style="213" min="11" max="11"/>
    <col width="9.140625" customWidth="1" style="213" min="12" max="12"/>
  </cols>
  <sheetData>
    <row r="3">
      <c r="B3" s="237" t="inlineStr">
        <is>
          <t>Приложение № 2</t>
        </is>
      </c>
      <c r="K3" s="145" t="n"/>
    </row>
    <row r="4">
      <c r="B4" s="238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 s="211">
      <c r="B6" s="239">
        <f>'Прил.1 Сравнит табл'!B7:D7</f>
        <v/>
      </c>
    </row>
    <row r="7">
      <c r="B7" s="239">
        <f>'Прил.1 Сравнит табл'!B9:D9</f>
        <v/>
      </c>
    </row>
    <row r="8" ht="18.75" customHeight="1" s="211">
      <c r="B8" s="121" t="n"/>
    </row>
    <row r="9" ht="15.75" customHeight="1" s="211">
      <c r="B9" s="242" t="inlineStr">
        <is>
          <t>№ п/п</t>
        </is>
      </c>
      <c r="C9" s="2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2" t="inlineStr">
        <is>
          <t>Объект-представитель 1</t>
        </is>
      </c>
      <c r="E9" s="329" t="n"/>
      <c r="F9" s="329" t="n"/>
      <c r="G9" s="329" t="n"/>
      <c r="H9" s="329" t="n"/>
      <c r="I9" s="329" t="n"/>
      <c r="J9" s="330" t="n"/>
    </row>
    <row r="10" ht="15.75" customHeight="1" s="211">
      <c r="B10" s="331" t="n"/>
      <c r="C10" s="331" t="n"/>
      <c r="D10" s="242" t="inlineStr">
        <is>
          <t>Номер сметы</t>
        </is>
      </c>
      <c r="E10" s="242" t="inlineStr">
        <is>
          <t>Наименование сметы</t>
        </is>
      </c>
      <c r="F10" s="242" t="inlineStr">
        <is>
          <t>Сметная стоимость в уровне цен 2 кв. 2018 г., тыс. руб.</t>
        </is>
      </c>
      <c r="G10" s="329" t="n"/>
      <c r="H10" s="329" t="n"/>
      <c r="I10" s="329" t="n"/>
      <c r="J10" s="330" t="n"/>
    </row>
    <row r="11" ht="48.75" customHeight="1" s="211">
      <c r="B11" s="332" t="n"/>
      <c r="C11" s="332" t="n"/>
      <c r="D11" s="332" t="n"/>
      <c r="E11" s="332" t="n"/>
      <c r="F11" s="242" t="inlineStr">
        <is>
          <t>Строительные работы</t>
        </is>
      </c>
      <c r="G11" s="242" t="inlineStr">
        <is>
          <t>Монтажные работы</t>
        </is>
      </c>
      <c r="H11" s="242" t="inlineStr">
        <is>
          <t>Оборудование</t>
        </is>
      </c>
      <c r="I11" s="242" t="inlineStr">
        <is>
          <t>Прочее</t>
        </is>
      </c>
      <c r="J11" s="242" t="inlineStr">
        <is>
          <t>Всего</t>
        </is>
      </c>
    </row>
    <row r="12" ht="39.75" customHeight="1" s="211">
      <c r="B12" s="201" t="n">
        <v>1</v>
      </c>
      <c r="C12" s="226" t="inlineStr">
        <is>
          <t>Муфта концевая 220 кВ сечением до 2500 мм2</t>
        </is>
      </c>
      <c r="D12" s="203" t="inlineStr">
        <is>
          <t>02-08-01</t>
        </is>
      </c>
      <c r="E12" s="204" t="inlineStr">
        <is>
          <t>Заходы КЛ 220 кВ</t>
        </is>
      </c>
      <c r="F12" s="205" t="n"/>
      <c r="G12" s="205" t="n">
        <v>7828.0026598</v>
      </c>
      <c r="H12" s="205" t="n"/>
      <c r="I12" s="205" t="n">
        <v>476.09129376638</v>
      </c>
      <c r="J12" s="206" t="n">
        <v>8304.0939535664</v>
      </c>
    </row>
    <row r="13" ht="15" customHeight="1" s="211">
      <c r="B13" s="241" t="inlineStr">
        <is>
          <t>Всего по объекту:</t>
        </is>
      </c>
      <c r="C13" s="329" t="n"/>
      <c r="D13" s="329" t="n"/>
      <c r="E13" s="330" t="n"/>
      <c r="F13" s="208" t="n">
        <v>0</v>
      </c>
      <c r="G13" s="208" t="n">
        <v>7828.0026598</v>
      </c>
      <c r="H13" s="208" t="n">
        <v>0</v>
      </c>
      <c r="I13" s="208" t="n">
        <v>476.09129376638</v>
      </c>
      <c r="J13" s="208" t="n">
        <v>8304.0939535664</v>
      </c>
    </row>
    <row r="14" ht="15.75" customHeight="1" s="211">
      <c r="B14" s="241" t="inlineStr">
        <is>
          <t>Всего по объекту в сопоставимом уровне цен 2 кв. 2018 г. :</t>
        </is>
      </c>
      <c r="C14" s="329" t="n"/>
      <c r="D14" s="329" t="n"/>
      <c r="E14" s="330" t="n"/>
      <c r="F14" s="208" t="n">
        <v>0</v>
      </c>
      <c r="G14" s="208" t="n">
        <v>7828.0026598</v>
      </c>
      <c r="H14" s="208" t="n">
        <v>0</v>
      </c>
      <c r="I14" s="208" t="n">
        <v>476.09129376638</v>
      </c>
      <c r="J14" s="208" t="n">
        <v>8304.0939535664</v>
      </c>
    </row>
    <row r="15" ht="15" customHeight="1" s="211"/>
    <row r="16" ht="15" customHeight="1" s="211"/>
    <row r="17" ht="15" customHeight="1" s="211"/>
    <row r="18" ht="15" customHeight="1" s="211">
      <c r="C18" s="196" t="inlineStr">
        <is>
          <t>Составил ______________________     А.Р. Маркова</t>
        </is>
      </c>
      <c r="D18" s="197" t="n"/>
      <c r="E18" s="197" t="n"/>
    </row>
    <row r="19" ht="15" customHeight="1" s="211">
      <c r="C19" s="199" t="inlineStr">
        <is>
          <t xml:space="preserve">                         (подпись, инициалы, фамилия)</t>
        </is>
      </c>
      <c r="D19" s="197" t="n"/>
      <c r="E19" s="197" t="n"/>
    </row>
    <row r="20" ht="15" customHeight="1" s="211">
      <c r="C20" s="196" t="n"/>
      <c r="D20" s="197" t="n"/>
      <c r="E20" s="197" t="n"/>
    </row>
    <row r="21" ht="15" customHeight="1" s="211">
      <c r="C21" s="196" t="inlineStr">
        <is>
          <t>Проверил ______________________        А.В. Костянецкая</t>
        </is>
      </c>
      <c r="D21" s="197" t="n"/>
      <c r="E21" s="197" t="n"/>
    </row>
    <row r="22" ht="15" customHeight="1" s="211">
      <c r="C22" s="199" t="inlineStr">
        <is>
          <t xml:space="preserve">                        (подпись, инициалы, фамилия)</t>
        </is>
      </c>
      <c r="D22" s="197" t="n"/>
      <c r="E22" s="197" t="n"/>
    </row>
    <row r="23" ht="15" customHeight="1" s="211"/>
    <row r="24" ht="15" customHeight="1" s="211"/>
    <row r="25" ht="15" customHeight="1" s="211"/>
    <row r="26" ht="15" customHeight="1" s="211"/>
    <row r="27" ht="15" customHeight="1" s="211"/>
    <row r="28" ht="15" customHeight="1" s="211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N45"/>
  <sheetViews>
    <sheetView view="pageBreakPreview" topLeftCell="A19" zoomScale="85" workbookViewId="0">
      <selection activeCell="F43" sqref="F43"/>
    </sheetView>
  </sheetViews>
  <sheetFormatPr baseColWidth="8" defaultColWidth="9.140625" defaultRowHeight="15.75"/>
  <cols>
    <col width="9.140625" customWidth="1" style="213" min="1" max="1"/>
    <col width="12.5703125" customWidth="1" style="213" min="2" max="2"/>
    <col width="22.42578125" customWidth="1" style="213" min="3" max="3"/>
    <col width="49.7109375" customWidth="1" style="213" min="4" max="4"/>
    <col width="10.140625" customWidth="1" style="213" min="5" max="5"/>
    <col width="20.7109375" customWidth="1" style="213" min="6" max="6"/>
    <col width="20" customWidth="1" style="213" min="7" max="7"/>
    <col width="16.7109375" customWidth="1" style="213" min="8" max="8"/>
    <col width="9.140625" customWidth="1" style="213" min="9" max="10"/>
    <col width="15" customWidth="1" style="213" min="11" max="11"/>
    <col width="9.140625" customWidth="1" style="213" min="12" max="12"/>
  </cols>
  <sheetData>
    <row r="2">
      <c r="A2" s="237" t="inlineStr">
        <is>
          <t xml:space="preserve">Приложение № 3 </t>
        </is>
      </c>
    </row>
    <row r="3">
      <c r="A3" s="238" t="inlineStr">
        <is>
          <t>Объектная ресурсная ведомость</t>
        </is>
      </c>
    </row>
    <row r="4" ht="18.75" customHeight="1" s="211">
      <c r="A4" s="176" t="n"/>
      <c r="B4" s="176" t="n"/>
      <c r="C4" s="24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39" t="n"/>
    </row>
    <row r="6">
      <c r="A6" s="243" t="inlineStr">
        <is>
          <t>Наименование разрабатываемого показателя УНЦ -  Муфта концевая 220 кВ сечением до 2500 мм2</t>
        </is>
      </c>
    </row>
    <row r="7">
      <c r="A7" s="243" t="n"/>
      <c r="B7" s="243" t="n"/>
      <c r="C7" s="243" t="n"/>
      <c r="D7" s="243" t="n"/>
      <c r="E7" s="243" t="n"/>
      <c r="F7" s="243" t="n"/>
      <c r="G7" s="243" t="n"/>
      <c r="H7" s="243" t="n"/>
    </row>
    <row r="8" ht="38.25" customHeight="1" s="211">
      <c r="A8" s="242" t="inlineStr">
        <is>
          <t>п/п</t>
        </is>
      </c>
      <c r="B8" s="242" t="inlineStr">
        <is>
          <t>№ЛСР</t>
        </is>
      </c>
      <c r="C8" s="242" t="inlineStr">
        <is>
          <t>Код ресурса</t>
        </is>
      </c>
      <c r="D8" s="242" t="inlineStr">
        <is>
          <t>Наименование ресурса</t>
        </is>
      </c>
      <c r="E8" s="242" t="inlineStr">
        <is>
          <t>Ед. изм.</t>
        </is>
      </c>
      <c r="F8" s="242" t="inlineStr">
        <is>
          <t>Кол-во единиц по данным объекта-представителя</t>
        </is>
      </c>
      <c r="G8" s="242" t="inlineStr">
        <is>
          <t>Сметная стоимость в ценах на 01.01.2000 (руб.)</t>
        </is>
      </c>
      <c r="H8" s="330" t="n"/>
    </row>
    <row r="9" ht="40.5" customHeight="1" s="211">
      <c r="A9" s="332" t="n"/>
      <c r="B9" s="332" t="n"/>
      <c r="C9" s="332" t="n"/>
      <c r="D9" s="332" t="n"/>
      <c r="E9" s="332" t="n"/>
      <c r="F9" s="332" t="n"/>
      <c r="G9" s="242" t="inlineStr">
        <is>
          <t>на ед.изм.</t>
        </is>
      </c>
      <c r="H9" s="242" t="inlineStr">
        <is>
          <t>общая</t>
        </is>
      </c>
    </row>
    <row r="10">
      <c r="A10" s="226" t="n">
        <v>1</v>
      </c>
      <c r="B10" s="226" t="n"/>
      <c r="C10" s="226" t="n">
        <v>2</v>
      </c>
      <c r="D10" s="226" t="inlineStr">
        <is>
          <t>З</t>
        </is>
      </c>
      <c r="E10" s="226" t="n">
        <v>4</v>
      </c>
      <c r="F10" s="226" t="n">
        <v>5</v>
      </c>
      <c r="G10" s="226" t="n">
        <v>6</v>
      </c>
      <c r="H10" s="226" t="n">
        <v>7</v>
      </c>
    </row>
    <row r="11" customFormat="1" s="191">
      <c r="A11" s="246" t="inlineStr">
        <is>
          <t>Затраты труда рабочих</t>
        </is>
      </c>
      <c r="B11" s="329" t="n"/>
      <c r="C11" s="329" t="n"/>
      <c r="D11" s="329" t="n"/>
      <c r="E11" s="330" t="n"/>
      <c r="F11" s="333">
        <f>SUM(F12:F12)</f>
        <v/>
      </c>
      <c r="G11" s="10" t="n"/>
      <c r="H11" s="333">
        <f>SUM(H12:H12)</f>
        <v/>
      </c>
    </row>
    <row r="12">
      <c r="A12" s="274" t="n">
        <v>1</v>
      </c>
      <c r="B12" s="159" t="n"/>
      <c r="C12" s="137" t="inlineStr">
        <is>
          <t>1-4-0</t>
        </is>
      </c>
      <c r="D12" s="171" t="inlineStr">
        <is>
          <t>Затраты труда рабочих (средний разряд работы 4)</t>
        </is>
      </c>
      <c r="E12" s="274" t="inlineStr">
        <is>
          <t>чел.-ч</t>
        </is>
      </c>
      <c r="F12" s="256" t="n">
        <v>1088</v>
      </c>
      <c r="G12" s="334" t="n">
        <v>9.619999999999999</v>
      </c>
      <c r="H12" s="169">
        <f>ROUND(F12*G12,2)</f>
        <v/>
      </c>
      <c r="N12" s="335" t="n"/>
    </row>
    <row r="13">
      <c r="A13" s="245" t="inlineStr">
        <is>
          <t>Затраты труда машинистов</t>
        </is>
      </c>
      <c r="B13" s="329" t="n"/>
      <c r="C13" s="329" t="n"/>
      <c r="D13" s="329" t="n"/>
      <c r="E13" s="330" t="n"/>
      <c r="F13" s="246" t="n"/>
      <c r="G13" s="157" t="n"/>
      <c r="H13" s="333">
        <f>H14</f>
        <v/>
      </c>
    </row>
    <row r="14">
      <c r="A14" s="274" t="n">
        <v>2</v>
      </c>
      <c r="B14" s="247" t="n"/>
      <c r="C14" s="178" t="n">
        <v>2</v>
      </c>
      <c r="D14" s="171" t="inlineStr">
        <is>
          <t>Затраты труда машинистов</t>
        </is>
      </c>
      <c r="E14" s="274" t="inlineStr">
        <is>
          <t>чел.-ч</t>
        </is>
      </c>
      <c r="F14" s="274" t="n">
        <v>3.76</v>
      </c>
      <c r="G14" s="169" t="n"/>
      <c r="H14" s="180" t="n">
        <v>47.18</v>
      </c>
    </row>
    <row r="15" customFormat="1" s="191">
      <c r="A15" s="246" t="inlineStr">
        <is>
          <t>Машины и механизмы</t>
        </is>
      </c>
      <c r="B15" s="329" t="n"/>
      <c r="C15" s="329" t="n"/>
      <c r="D15" s="329" t="n"/>
      <c r="E15" s="330" t="n"/>
      <c r="F15" s="246" t="n"/>
      <c r="G15" s="157" t="n"/>
      <c r="H15" s="333">
        <f>SUM(H16:H20)</f>
        <v/>
      </c>
    </row>
    <row r="16" ht="25.5" customHeight="1" s="211">
      <c r="A16" s="274" t="n">
        <v>3</v>
      </c>
      <c r="B16" s="247" t="n"/>
      <c r="C16" s="137" t="inlineStr">
        <is>
          <t>91.05.05-015</t>
        </is>
      </c>
      <c r="D16" s="255" t="inlineStr">
        <is>
          <t>Краны на автомобильном ходу, грузоподъемность 16 т</t>
        </is>
      </c>
      <c r="E16" s="256" t="inlineStr">
        <is>
          <t>маш.час</t>
        </is>
      </c>
      <c r="F16" s="256" t="n">
        <v>1.88</v>
      </c>
      <c r="G16" s="258" t="n">
        <v>115.4</v>
      </c>
      <c r="H16" s="169">
        <f>ROUND(F16*G16,2)</f>
        <v/>
      </c>
      <c r="J16" s="173" t="n"/>
      <c r="K16" s="173" t="n"/>
      <c r="M16" s="173" t="n"/>
    </row>
    <row r="17" customFormat="1" s="191">
      <c r="A17" s="274" t="n">
        <v>4</v>
      </c>
      <c r="B17" s="247" t="n"/>
      <c r="C17" s="137" t="inlineStr">
        <is>
          <t>91.14.02-001</t>
        </is>
      </c>
      <c r="D17" s="255" t="inlineStr">
        <is>
          <t>Автомобили бортовые, грузоподъемность до 5 т</t>
        </is>
      </c>
      <c r="E17" s="256" t="inlineStr">
        <is>
          <t>маш.час</t>
        </is>
      </c>
      <c r="F17" s="256" t="n">
        <v>1.88</v>
      </c>
      <c r="G17" s="258" t="n">
        <v>65.70999999999999</v>
      </c>
      <c r="H17" s="169">
        <f>ROUND(F17*G17,2)</f>
        <v/>
      </c>
      <c r="J17" s="173" t="n"/>
      <c r="K17" s="173" t="n"/>
      <c r="L17" s="185" t="n"/>
      <c r="M17" s="173" t="n"/>
    </row>
    <row r="18">
      <c r="A18" s="274" t="n">
        <v>5</v>
      </c>
      <c r="B18" s="247" t="n"/>
      <c r="C18" s="137" t="inlineStr">
        <is>
          <t>91.19.12-021</t>
        </is>
      </c>
      <c r="D18" s="255" t="inlineStr">
        <is>
          <t>Насосы вакуумные 3,6 м3/мин</t>
        </is>
      </c>
      <c r="E18" s="256" t="inlineStr">
        <is>
          <t>маш.час</t>
        </is>
      </c>
      <c r="F18" s="256" t="n">
        <v>16.64</v>
      </c>
      <c r="G18" s="258" t="n">
        <v>6.28</v>
      </c>
      <c r="H18" s="169">
        <f>ROUND(F18*G18,2)</f>
        <v/>
      </c>
      <c r="J18" s="173" t="n"/>
      <c r="K18" s="173" t="n"/>
      <c r="M18" s="173" t="n"/>
    </row>
    <row r="19">
      <c r="A19" s="274" t="n">
        <v>6</v>
      </c>
      <c r="B19" s="247" t="n"/>
      <c r="C19" s="137" t="inlineStr">
        <is>
          <t>91.21.16-012</t>
        </is>
      </c>
      <c r="D19" s="255" t="inlineStr">
        <is>
          <t>Прессы гидравлические с электроприводом</t>
        </is>
      </c>
      <c r="E19" s="256" t="inlineStr">
        <is>
          <t>маш.час</t>
        </is>
      </c>
      <c r="F19" s="256" t="n">
        <v>63.04</v>
      </c>
      <c r="G19" s="258" t="n">
        <v>1.11</v>
      </c>
      <c r="H19" s="169">
        <f>ROUND(F19*G19,2)</f>
        <v/>
      </c>
      <c r="J19" s="173" t="n"/>
      <c r="K19" s="173" t="n"/>
      <c r="M19" s="173" t="n"/>
    </row>
    <row r="20" ht="25.5" customHeight="1" s="211">
      <c r="A20" s="274" t="n">
        <v>7</v>
      </c>
      <c r="B20" s="247" t="n"/>
      <c r="C20" s="137" t="inlineStr">
        <is>
          <t>91.17.04-233</t>
        </is>
      </c>
      <c r="D20" s="255" t="inlineStr">
        <is>
          <t>Установки для сварки ручной дуговой (постоянного тока)</t>
        </is>
      </c>
      <c r="E20" s="256" t="inlineStr">
        <is>
          <t>маш.час</t>
        </is>
      </c>
      <c r="F20" s="256" t="n">
        <v>5.94</v>
      </c>
      <c r="G20" s="258" t="n">
        <v>8.1</v>
      </c>
      <c r="H20" s="169">
        <f>ROUND(F20*G20,2)</f>
        <v/>
      </c>
      <c r="J20" s="173" t="n"/>
      <c r="K20" s="173" t="n"/>
      <c r="M20" s="173" t="n"/>
    </row>
    <row r="21">
      <c r="A21" s="246" t="inlineStr">
        <is>
          <t>Материалы</t>
        </is>
      </c>
      <c r="B21" s="329" t="n"/>
      <c r="C21" s="329" t="n"/>
      <c r="D21" s="329" t="n"/>
      <c r="E21" s="330" t="n"/>
      <c r="F21" s="246" t="n"/>
      <c r="G21" s="157" t="n"/>
      <c r="H21" s="333">
        <f>SUM(H22:H39)</f>
        <v/>
      </c>
    </row>
    <row r="22">
      <c r="A22" s="183" t="n">
        <v>8</v>
      </c>
      <c r="B22" s="183" t="n"/>
      <c r="C22" s="274" t="inlineStr">
        <is>
          <t>Прайс из СД ОП</t>
        </is>
      </c>
      <c r="D22" s="182" t="inlineStr">
        <is>
          <t>Муфта концевая 220 кВ сечением до 2500 мм2</t>
        </is>
      </c>
      <c r="E22" s="274" t="inlineStr">
        <is>
          <t>шт</t>
        </is>
      </c>
      <c r="F22" s="274" t="n">
        <v>6</v>
      </c>
      <c r="G22" s="182" t="n">
        <v>305239.18</v>
      </c>
      <c r="H22" s="169" t="n">
        <v>1831435.08</v>
      </c>
    </row>
    <row r="23">
      <c r="A23" s="172" t="n">
        <v>9</v>
      </c>
      <c r="B23" s="247" t="n"/>
      <c r="C23" s="137" t="inlineStr">
        <is>
          <t>01.7.03.04-0001</t>
        </is>
      </c>
      <c r="D23" s="255" t="inlineStr">
        <is>
          <t>Электроэнергия</t>
        </is>
      </c>
      <c r="E23" s="256" t="inlineStr">
        <is>
          <t>кВт-ч</t>
        </is>
      </c>
      <c r="F23" s="256" t="n">
        <v>2780.54</v>
      </c>
      <c r="G23" s="258" t="n">
        <v>0.4</v>
      </c>
      <c r="H23" s="169" t="n">
        <v>1112.22</v>
      </c>
      <c r="J23" s="166" t="n"/>
      <c r="K23" s="173" t="n"/>
      <c r="L23" s="173" t="n"/>
    </row>
    <row r="24">
      <c r="A24" s="183" t="n">
        <v>10</v>
      </c>
      <c r="B24" s="247" t="n"/>
      <c r="C24" s="137" t="inlineStr">
        <is>
          <t>01.3.02.01-0002</t>
        </is>
      </c>
      <c r="D24" s="255" t="inlineStr">
        <is>
          <t>Азот газообразный технический</t>
        </is>
      </c>
      <c r="E24" s="256" t="inlineStr">
        <is>
          <t>м3</t>
        </is>
      </c>
      <c r="F24" s="256" t="n">
        <v>90</v>
      </c>
      <c r="G24" s="258" t="n">
        <v>6.21</v>
      </c>
      <c r="H24" s="169" t="n">
        <v>558.9</v>
      </c>
      <c r="J24" s="166" t="n"/>
      <c r="K24" s="173" t="n"/>
      <c r="L24" s="173" t="n"/>
    </row>
    <row r="25">
      <c r="A25" s="172" t="n">
        <v>11</v>
      </c>
      <c r="B25" s="247" t="n"/>
      <c r="C25" s="137" t="inlineStr">
        <is>
          <t>01.3.04.08-0025</t>
        </is>
      </c>
      <c r="D25" s="255" t="inlineStr">
        <is>
          <t>Масло кабельное</t>
        </is>
      </c>
      <c r="E25" s="256" t="inlineStr">
        <is>
          <t>кг</t>
        </is>
      </c>
      <c r="F25" s="256" t="n">
        <v>58</v>
      </c>
      <c r="G25" s="258" t="n">
        <v>8.85</v>
      </c>
      <c r="H25" s="169" t="n">
        <v>513.3</v>
      </c>
      <c r="J25" s="166" t="n"/>
      <c r="K25" s="173" t="n"/>
      <c r="L25" s="173" t="n"/>
    </row>
    <row r="26">
      <c r="A26" s="183" t="n">
        <v>12</v>
      </c>
      <c r="B26" s="247" t="n"/>
      <c r="C26" s="137" t="inlineStr">
        <is>
          <t>01.7.20.08-0102</t>
        </is>
      </c>
      <c r="D26" s="255" t="inlineStr">
        <is>
          <t>Миткаль суровый</t>
        </is>
      </c>
      <c r="E26" s="256" t="inlineStr">
        <is>
          <t>10 м</t>
        </is>
      </c>
      <c r="F26" s="256" t="n">
        <v>6</v>
      </c>
      <c r="G26" s="258" t="n">
        <v>73.65000000000001</v>
      </c>
      <c r="H26" s="169" t="n">
        <v>441.9</v>
      </c>
      <c r="J26" s="166" t="n"/>
      <c r="K26" s="173" t="n"/>
      <c r="L26" s="173" t="n"/>
    </row>
    <row r="27" ht="25.5" customHeight="1" s="211">
      <c r="A27" s="172" t="n">
        <v>13</v>
      </c>
      <c r="B27" s="247" t="n"/>
      <c r="C27" s="137" t="inlineStr">
        <is>
          <t>11.1.03.05-0085</t>
        </is>
      </c>
      <c r="D27" s="255" t="inlineStr">
        <is>
          <t>Доска необрезная, хвойных пород, длина 4-6,5 м, все ширины, толщина 44 мм и более, сорт III</t>
        </is>
      </c>
      <c r="E27" s="256" t="inlineStr">
        <is>
          <t>м3</t>
        </is>
      </c>
      <c r="F27" s="256" t="n">
        <v>0.28</v>
      </c>
      <c r="G27" s="258" t="n">
        <v>684</v>
      </c>
      <c r="H27" s="169" t="n">
        <v>191.52</v>
      </c>
      <c r="J27" s="166" t="n"/>
      <c r="K27" s="173" t="n"/>
      <c r="L27" s="173" t="n"/>
    </row>
    <row r="28">
      <c r="A28" s="183" t="n">
        <v>14</v>
      </c>
      <c r="B28" s="247" t="n"/>
      <c r="C28" s="137" t="inlineStr">
        <is>
          <t>01.3.02.08-0001</t>
        </is>
      </c>
      <c r="D28" s="255" t="inlineStr">
        <is>
          <t>Кислород газообразный технический</t>
        </is>
      </c>
      <c r="E28" s="256" t="inlineStr">
        <is>
          <t>м3</t>
        </is>
      </c>
      <c r="F28" s="256" t="n">
        <v>24</v>
      </c>
      <c r="G28" s="258" t="n">
        <v>6.22</v>
      </c>
      <c r="H28" s="169" t="n">
        <v>149.28</v>
      </c>
      <c r="J28" s="166" t="n"/>
      <c r="K28" s="173" t="n"/>
      <c r="L28" s="173" t="n"/>
    </row>
    <row r="29">
      <c r="A29" s="172" t="n">
        <v>15</v>
      </c>
      <c r="B29" s="247" t="n"/>
      <c r="C29" s="137" t="inlineStr">
        <is>
          <t>01.3.04.08-0024</t>
        </is>
      </c>
      <c r="D29" s="255" t="inlineStr">
        <is>
          <t>Масло изоляционное</t>
        </is>
      </c>
      <c r="E29" s="256" t="inlineStr">
        <is>
          <t>кг</t>
        </is>
      </c>
      <c r="F29" s="256" t="n">
        <v>40</v>
      </c>
      <c r="G29" s="258" t="n">
        <v>3.27</v>
      </c>
      <c r="H29" s="169" t="n">
        <v>130.8</v>
      </c>
      <c r="J29" s="166" t="n"/>
      <c r="K29" s="173" t="n"/>
      <c r="L29" s="173" t="n"/>
    </row>
    <row r="30">
      <c r="A30" s="183" t="n">
        <v>16</v>
      </c>
      <c r="B30" s="247" t="n"/>
      <c r="C30" s="137" t="inlineStr">
        <is>
          <t>25.1.01.04-0031</t>
        </is>
      </c>
      <c r="D30" s="255" t="inlineStr">
        <is>
          <t>Шпалы непропитанные для железных дорог, тип I</t>
        </is>
      </c>
      <c r="E30" s="256" t="inlineStr">
        <is>
          <t>шт</t>
        </is>
      </c>
      <c r="F30" s="256" t="n">
        <v>0.28</v>
      </c>
      <c r="G30" s="258" t="n">
        <v>266.67</v>
      </c>
      <c r="H30" s="169" t="n">
        <v>74.67</v>
      </c>
      <c r="J30" s="166" t="n"/>
      <c r="K30" s="173" t="n"/>
      <c r="L30" s="173" t="n"/>
    </row>
    <row r="31" ht="25.5" customHeight="1" s="211">
      <c r="A31" s="172" t="n">
        <v>17</v>
      </c>
      <c r="B31" s="247" t="n"/>
      <c r="C31" s="137" t="inlineStr">
        <is>
          <t>10.3.02.03-0011</t>
        </is>
      </c>
      <c r="D31" s="255" t="inlineStr">
        <is>
          <t>Припои оловянно-свинцовые бессурьмянистые, марка ПОС30</t>
        </is>
      </c>
      <c r="E31" s="256" t="inlineStr">
        <is>
          <t>т</t>
        </is>
      </c>
      <c r="F31" s="256" t="n">
        <v>0.001</v>
      </c>
      <c r="G31" s="258" t="n">
        <v>68050</v>
      </c>
      <c r="H31" s="169" t="n">
        <v>68.05</v>
      </c>
      <c r="J31" s="166" t="n"/>
      <c r="K31" s="173" t="n"/>
      <c r="L31" s="173" t="n"/>
    </row>
    <row r="32">
      <c r="A32" s="183" t="n">
        <v>18</v>
      </c>
      <c r="B32" s="247" t="n"/>
      <c r="C32" s="137" t="inlineStr">
        <is>
          <t>01.7.11.07-0034</t>
        </is>
      </c>
      <c r="D32" s="255" t="inlineStr">
        <is>
          <t>Электроды сварочные Э42А, диаметр 4 мм</t>
        </is>
      </c>
      <c r="E32" s="256" t="inlineStr">
        <is>
          <t>кг</t>
        </is>
      </c>
      <c r="F32" s="256" t="n">
        <v>6.4</v>
      </c>
      <c r="G32" s="258" t="n">
        <v>10.57</v>
      </c>
      <c r="H32" s="169" t="n">
        <v>67.65000000000001</v>
      </c>
      <c r="J32" s="166" t="n"/>
      <c r="K32" s="173" t="n"/>
      <c r="L32" s="173" t="n"/>
    </row>
    <row r="33">
      <c r="A33" s="172" t="n">
        <v>19</v>
      </c>
      <c r="B33" s="247" t="n"/>
      <c r="C33" s="137" t="inlineStr">
        <is>
          <t>01.3.02.09-0022</t>
        </is>
      </c>
      <c r="D33" s="255" t="inlineStr">
        <is>
          <t>Пропан-бутан смесь техническая</t>
        </is>
      </c>
      <c r="E33" s="256" t="inlineStr">
        <is>
          <t>кг</t>
        </is>
      </c>
      <c r="F33" s="256" t="n">
        <v>8</v>
      </c>
      <c r="G33" s="258" t="n">
        <v>6.09</v>
      </c>
      <c r="H33" s="169" t="n">
        <v>48.72</v>
      </c>
      <c r="J33" s="166" t="n"/>
      <c r="K33" s="173" t="n"/>
      <c r="L33" s="173" t="n"/>
    </row>
    <row r="34" ht="25.5" customHeight="1" s="211">
      <c r="A34" s="183" t="n">
        <v>20</v>
      </c>
      <c r="B34" s="247" t="n"/>
      <c r="C34" s="137" t="inlineStr">
        <is>
          <t>01.1.02.02-0022</t>
        </is>
      </c>
      <c r="D34" s="255" t="inlineStr">
        <is>
          <t>Бумага асбестовая электроизоляционная БЭ, толщина 0,2 мм</t>
        </is>
      </c>
      <c r="E34" s="256" t="inlineStr">
        <is>
          <t>т</t>
        </is>
      </c>
      <c r="F34" s="256" t="n">
        <v>0.004</v>
      </c>
      <c r="G34" s="258" t="n">
        <v>11549</v>
      </c>
      <c r="H34" s="169" t="n">
        <v>46.2</v>
      </c>
      <c r="J34" s="166" t="n"/>
      <c r="K34" s="173" t="n"/>
      <c r="L34" s="173" t="n"/>
    </row>
    <row r="35">
      <c r="A35" s="172" t="n">
        <v>21</v>
      </c>
      <c r="B35" s="247" t="n"/>
      <c r="C35" s="137" t="inlineStr">
        <is>
          <t>01.7.07.12-0022</t>
        </is>
      </c>
      <c r="D35" s="255" t="inlineStr">
        <is>
          <t>Пленка полиэтиленовая, толщина 0,2-0,5 мм</t>
        </is>
      </c>
      <c r="E35" s="256" t="inlineStr">
        <is>
          <t>м2</t>
        </is>
      </c>
      <c r="F35" s="256" t="n">
        <v>3.066</v>
      </c>
      <c r="G35" s="258" t="n">
        <v>12.19</v>
      </c>
      <c r="H35" s="169" t="n">
        <v>37.37</v>
      </c>
      <c r="J35" s="166" t="n"/>
      <c r="K35" s="173" t="n"/>
      <c r="L35" s="173" t="n"/>
    </row>
    <row r="36" ht="25.5" customHeight="1" s="211">
      <c r="A36" s="183" t="n">
        <v>22</v>
      </c>
      <c r="B36" s="247" t="n"/>
      <c r="C36" s="137" t="inlineStr">
        <is>
          <t>01.7.06.05-0041</t>
        </is>
      </c>
      <c r="D36" s="255" t="inlineStr">
        <is>
          <t>Лента изоляционная прорезиненная односторонняя, ширина 20 мм, толщина 0,25-0,35 мм</t>
        </is>
      </c>
      <c r="E36" s="256" t="inlineStr">
        <is>
          <t>кг</t>
        </is>
      </c>
      <c r="F36" s="256" t="n">
        <v>0.8</v>
      </c>
      <c r="G36" s="258" t="n">
        <v>30.4</v>
      </c>
      <c r="H36" s="169" t="n">
        <v>24.32</v>
      </c>
      <c r="J36" s="166" t="n"/>
      <c r="K36" s="173" t="n"/>
      <c r="L36" s="173" t="n"/>
    </row>
    <row r="37" ht="25.5" customHeight="1" s="211">
      <c r="A37" s="172" t="n">
        <v>23</v>
      </c>
      <c r="B37" s="247" t="n"/>
      <c r="C37" s="137" t="inlineStr">
        <is>
          <t>10.2.02.08-0001</t>
        </is>
      </c>
      <c r="D37" s="255" t="inlineStr">
        <is>
          <t>Проволока медная, круглая, мягкая, электротехническая, диаметр 1,0-3,0 мм и выше</t>
        </is>
      </c>
      <c r="E37" s="256" t="inlineStr">
        <is>
          <t>т</t>
        </is>
      </c>
      <c r="F37" s="256" t="n">
        <v>0.0005999999999999999</v>
      </c>
      <c r="G37" s="258" t="n">
        <v>37517</v>
      </c>
      <c r="H37" s="169" t="n">
        <v>22.51</v>
      </c>
      <c r="J37" s="166" t="n"/>
      <c r="K37" s="173" t="n"/>
      <c r="L37" s="173" t="n"/>
    </row>
    <row r="38">
      <c r="A38" s="183" t="n">
        <v>24</v>
      </c>
      <c r="B38" s="247" t="n"/>
      <c r="C38" s="137" t="inlineStr">
        <is>
          <t>01.3.01.07-0009</t>
        </is>
      </c>
      <c r="D38" s="255" t="inlineStr">
        <is>
          <t>Спирт этиловый ректификованный технический, сорт I</t>
        </is>
      </c>
      <c r="E38" s="256" t="inlineStr">
        <is>
          <t>кг</t>
        </is>
      </c>
      <c r="F38" s="256" t="n">
        <v>0.48</v>
      </c>
      <c r="G38" s="258" t="n">
        <v>38.89</v>
      </c>
      <c r="H38" s="169" t="n">
        <v>18.67</v>
      </c>
      <c r="I38" s="166" t="n"/>
      <c r="J38" s="173" t="n"/>
      <c r="K38" s="173" t="n"/>
    </row>
    <row r="39">
      <c r="A39" s="172" t="n">
        <v>25</v>
      </c>
      <c r="B39" s="247" t="n"/>
      <c r="C39" s="137" t="inlineStr">
        <is>
          <t>01.3.01.01-0001</t>
        </is>
      </c>
      <c r="D39" s="255" t="inlineStr">
        <is>
          <t>Бензин авиационный Б-70</t>
        </is>
      </c>
      <c r="E39" s="256" t="inlineStr">
        <is>
          <t>т</t>
        </is>
      </c>
      <c r="F39" s="256" t="n">
        <v>0.004</v>
      </c>
      <c r="G39" s="258" t="n">
        <v>4488.4</v>
      </c>
      <c r="H39" s="169" t="n">
        <v>17.95</v>
      </c>
      <c r="I39" s="166" t="n"/>
      <c r="J39" s="173" t="n"/>
      <c r="K39" s="173" t="n"/>
    </row>
    <row r="41">
      <c r="B41" s="213" t="inlineStr">
        <is>
          <t>Составил ______________________     А.Р. Маркова</t>
        </is>
      </c>
    </row>
    <row r="42">
      <c r="B42" s="145" t="inlineStr">
        <is>
          <t xml:space="preserve">                         (подпись, инициалы, фамилия)</t>
        </is>
      </c>
    </row>
    <row r="44">
      <c r="B44" s="213" t="inlineStr">
        <is>
          <t>Проверил ______________________        А.В. Костянецкая</t>
        </is>
      </c>
    </row>
    <row r="45">
      <c r="B45" s="145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4" workbookViewId="0">
      <selection activeCell="D43" sqref="D43"/>
    </sheetView>
  </sheetViews>
  <sheetFormatPr baseColWidth="8" defaultColWidth="9.140625" defaultRowHeight="15"/>
  <cols>
    <col width="4.140625" customWidth="1" style="211" min="1" max="1"/>
    <col width="36.28515625" customWidth="1" style="211" min="2" max="2"/>
    <col width="18.85546875" customWidth="1" style="211" min="3" max="3"/>
    <col width="18.28515625" customWidth="1" style="211" min="4" max="4"/>
    <col width="18.85546875" customWidth="1" style="211" min="5" max="5"/>
    <col width="11.42578125" customWidth="1" style="211" min="6" max="6"/>
    <col width="14.42578125" customWidth="1" style="211" min="7" max="7"/>
    <col width="13.5703125" customWidth="1" style="211" min="12" max="12"/>
  </cols>
  <sheetData>
    <row r="1">
      <c r="B1" s="196" t="n"/>
      <c r="C1" s="196" t="n"/>
      <c r="D1" s="196" t="n"/>
      <c r="E1" s="196" t="n"/>
    </row>
    <row r="2">
      <c r="B2" s="196" t="n"/>
      <c r="C2" s="196" t="n"/>
      <c r="D2" s="196" t="n"/>
      <c r="E2" s="269" t="inlineStr">
        <is>
          <t>Приложение № 4</t>
        </is>
      </c>
    </row>
    <row r="3">
      <c r="B3" s="196" t="n"/>
      <c r="C3" s="196" t="n"/>
      <c r="D3" s="196" t="n"/>
      <c r="E3" s="196" t="n"/>
    </row>
    <row r="4">
      <c r="B4" s="196" t="n"/>
      <c r="C4" s="196" t="n"/>
      <c r="D4" s="196" t="n"/>
      <c r="E4" s="196" t="n"/>
    </row>
    <row r="5">
      <c r="B5" s="227" t="inlineStr">
        <is>
          <t>Ресурсная модель</t>
        </is>
      </c>
    </row>
    <row r="6">
      <c r="B6" s="165" t="n"/>
      <c r="C6" s="196" t="n"/>
      <c r="D6" s="196" t="n"/>
      <c r="E6" s="196" t="n"/>
    </row>
    <row r="7" ht="25.5" customHeight="1" s="211">
      <c r="B7" s="236" t="inlineStr">
        <is>
          <t>Наименование разрабатываемого показателя УНЦ — Муфта концевая 220 кВ сечением до 2500 мм2</t>
        </is>
      </c>
    </row>
    <row r="8">
      <c r="B8" s="249" t="inlineStr">
        <is>
          <t>Единица измерения  — 1 ед</t>
        </is>
      </c>
    </row>
    <row r="9">
      <c r="B9" s="165" t="n"/>
      <c r="C9" s="196" t="n"/>
      <c r="D9" s="196" t="n"/>
      <c r="E9" s="196" t="n"/>
    </row>
    <row r="10" ht="51" customHeight="1" s="211">
      <c r="B10" s="256" t="inlineStr">
        <is>
          <t>Наименование</t>
        </is>
      </c>
      <c r="C10" s="256" t="inlineStr">
        <is>
          <t>Сметная стоимость в ценах на 01.01.2023
 (руб.)</t>
        </is>
      </c>
      <c r="D10" s="256" t="inlineStr">
        <is>
          <t>Удельный вес, 
(в СМР)</t>
        </is>
      </c>
      <c r="E10" s="25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ОБ'!J24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ОБ'!J37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ОБ'!J55</f>
        <v/>
      </c>
      <c r="D17" s="27">
        <f>C17/$C$24</f>
        <v/>
      </c>
      <c r="E17" s="27">
        <f>C17/$C$40</f>
        <v/>
      </c>
      <c r="G17" s="336" t="n"/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ОБ'!D59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ОБ'!D58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 s="211">
      <c r="B25" s="25" t="inlineStr">
        <is>
          <t>ВСЕГО стоимость оборудования, в том числе</t>
        </is>
      </c>
      <c r="C25" s="162">
        <f>'Прил.5 Расчет СМР и ОБ'!J32</f>
        <v/>
      </c>
      <c r="D25" s="27" t="n"/>
      <c r="E25" s="27">
        <f>C25/$C$40</f>
        <v/>
      </c>
    </row>
    <row r="26" ht="25.5" customHeight="1" s="211">
      <c r="B26" s="25" t="inlineStr">
        <is>
          <t>стоимость оборудования технологического</t>
        </is>
      </c>
      <c r="C26" s="162">
        <f>'Прил.5 Расчет СМР и ОБ'!J33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1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 s="211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 s="21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79" t="n">
        <v>0</v>
      </c>
      <c r="D31" s="25" t="n"/>
      <c r="E31" s="27">
        <f>C31/$C$40</f>
        <v/>
      </c>
    </row>
    <row r="32" ht="25.5" customHeight="1" s="21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 s="21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 s="21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6" t="n"/>
    </row>
    <row r="35" ht="76.5" customHeight="1" s="21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 s="21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G36" s="112" t="n"/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G37" s="115" t="n"/>
      <c r="L37" s="163" t="n"/>
    </row>
    <row r="38" ht="38.25" customHeight="1" s="211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 s="211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ОБ'!E62</f>
        <v/>
      </c>
      <c r="D41" s="25" t="n"/>
      <c r="E41" s="25" t="n"/>
    </row>
    <row r="42">
      <c r="B42" s="161" t="n"/>
      <c r="C42" s="196" t="n"/>
      <c r="D42" s="196" t="n"/>
      <c r="E42" s="196" t="n"/>
    </row>
    <row r="43">
      <c r="B43" s="161" t="inlineStr">
        <is>
          <t>Составил ____________________________ А.Р. Маркова</t>
        </is>
      </c>
      <c r="C43" s="196" t="n"/>
      <c r="D43" s="196" t="n"/>
      <c r="E43" s="196" t="n"/>
    </row>
    <row r="44">
      <c r="B44" s="161" t="inlineStr">
        <is>
          <t xml:space="preserve">(должность, подпись, инициалы, фамилия) </t>
        </is>
      </c>
      <c r="C44" s="196" t="n"/>
      <c r="D44" s="196" t="n"/>
      <c r="E44" s="196" t="n"/>
    </row>
    <row r="45">
      <c r="B45" s="161" t="n"/>
      <c r="C45" s="196" t="n"/>
      <c r="D45" s="196" t="n"/>
      <c r="E45" s="196" t="n"/>
    </row>
    <row r="46">
      <c r="B46" s="161" t="inlineStr">
        <is>
          <t>Проверил ____________________________ А.В. Костянецкая</t>
        </is>
      </c>
      <c r="C46" s="196" t="n"/>
      <c r="D46" s="196" t="n"/>
      <c r="E46" s="196" t="n"/>
    </row>
    <row r="47">
      <c r="B47" s="249" t="inlineStr">
        <is>
          <t>(должность, подпись, инициалы, фамилия)</t>
        </is>
      </c>
      <c r="D47" s="196" t="n"/>
      <c r="E47" s="196" t="n"/>
    </row>
    <row r="49">
      <c r="B49" s="196" t="n"/>
      <c r="C49" s="196" t="n"/>
      <c r="D49" s="196" t="n"/>
      <c r="E49" s="196" t="n"/>
    </row>
    <row r="50">
      <c r="B50" s="196" t="n"/>
      <c r="C50" s="196" t="n"/>
      <c r="D50" s="196" t="n"/>
      <c r="E50" s="19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68"/>
  <sheetViews>
    <sheetView view="pageBreakPreview" topLeftCell="A19" zoomScale="85" workbookViewId="0">
      <selection activeCell="F64" sqref="F64"/>
    </sheetView>
  </sheetViews>
  <sheetFormatPr baseColWidth="8" defaultColWidth="9.140625" defaultRowHeight="15" outlineLevelRow="1"/>
  <cols>
    <col width="5.7109375" customWidth="1" style="197" min="1" max="1"/>
    <col width="22.5703125" customWidth="1" style="197" min="2" max="2"/>
    <col width="39.140625" customWidth="1" style="197" min="3" max="3"/>
    <col width="10.7109375" customWidth="1" style="197" min="4" max="4"/>
    <col width="12.7109375" customWidth="1" style="197" min="5" max="5"/>
    <col width="15" customWidth="1" style="197" min="6" max="6"/>
    <col width="13.42578125" customWidth="1" style="197" min="7" max="7"/>
    <col width="12.7109375" customWidth="1" style="197" min="8" max="8"/>
    <col width="13.85546875" customWidth="1" style="197" min="9" max="9"/>
    <col width="17.5703125" customWidth="1" style="197" min="10" max="10"/>
    <col width="10.85546875" customWidth="1" style="197" min="11" max="11"/>
    <col width="9.140625" customWidth="1" style="197" min="12" max="12"/>
  </cols>
  <sheetData>
    <row r="1">
      <c r="M1" s="197" t="n"/>
      <c r="N1" s="197" t="n"/>
    </row>
    <row r="2" ht="15.75" customHeight="1" s="211">
      <c r="H2" s="264" t="inlineStr">
        <is>
          <t>Приложение №5</t>
        </is>
      </c>
      <c r="M2" s="197" t="n"/>
      <c r="N2" s="197" t="n"/>
    </row>
    <row r="3">
      <c r="M3" s="197" t="n"/>
      <c r="N3" s="197" t="n"/>
    </row>
    <row r="4" ht="12.75" customFormat="1" customHeight="1" s="196">
      <c r="A4" s="227" t="inlineStr">
        <is>
          <t>Расчет стоимости СМР и оборудования</t>
        </is>
      </c>
    </row>
    <row r="5" ht="12.75" customFormat="1" customHeight="1" s="196">
      <c r="A5" s="227" t="n"/>
      <c r="B5" s="227" t="n"/>
      <c r="C5" s="277" t="n"/>
      <c r="D5" s="227" t="n"/>
      <c r="E5" s="227" t="n"/>
      <c r="F5" s="227" t="n"/>
      <c r="G5" s="227" t="n"/>
      <c r="H5" s="227" t="n"/>
      <c r="I5" s="227" t="n"/>
      <c r="J5" s="227" t="n"/>
    </row>
    <row r="6" ht="12.75" customFormat="1" customHeight="1" s="196">
      <c r="A6" s="139" t="inlineStr">
        <is>
          <t>Наименование разрабатываемого показателя УНЦ</t>
        </is>
      </c>
      <c r="B6" s="138" t="n"/>
      <c r="C6" s="138" t="n"/>
      <c r="D6" s="268" t="inlineStr">
        <is>
          <t>Муфта концевая 220 кВ сечением до 2500 мм2</t>
        </is>
      </c>
    </row>
    <row r="7" ht="12.75" customFormat="1" customHeight="1" s="196">
      <c r="A7" s="230" t="inlineStr">
        <is>
          <t>Единица измерения  — 1 ед</t>
        </is>
      </c>
      <c r="I7" s="236" t="n"/>
      <c r="J7" s="236" t="n"/>
    </row>
    <row r="8" ht="13.5" customFormat="1" customHeight="1" s="196">
      <c r="A8" s="230" t="n"/>
    </row>
    <row r="9" ht="13.15" customFormat="1" customHeight="1" s="196"/>
    <row r="10" ht="27" customHeight="1" s="211">
      <c r="A10" s="256" t="inlineStr">
        <is>
          <t>№ пп.</t>
        </is>
      </c>
      <c r="B10" s="256" t="inlineStr">
        <is>
          <t>Код ресурса</t>
        </is>
      </c>
      <c r="C10" s="256" t="inlineStr">
        <is>
          <t>Наименование</t>
        </is>
      </c>
      <c r="D10" s="256" t="inlineStr">
        <is>
          <t>Ед. изм.</t>
        </is>
      </c>
      <c r="E10" s="256" t="inlineStr">
        <is>
          <t>Кол-во единиц по проектным данным</t>
        </is>
      </c>
      <c r="F10" s="256" t="inlineStr">
        <is>
          <t>Сметная стоимость в ценах на 01.01.2000 (руб.)</t>
        </is>
      </c>
      <c r="G10" s="330" t="n"/>
      <c r="H10" s="256" t="inlineStr">
        <is>
          <t>Удельный вес, %</t>
        </is>
      </c>
      <c r="I10" s="256" t="inlineStr">
        <is>
          <t>Сметная стоимость в ценах на 01.01.2023 (руб.)</t>
        </is>
      </c>
      <c r="J10" s="330" t="n"/>
      <c r="M10" s="197" t="n"/>
      <c r="N10" s="197" t="n"/>
    </row>
    <row r="11" ht="28.5" customHeight="1" s="211">
      <c r="A11" s="332" t="n"/>
      <c r="B11" s="332" t="n"/>
      <c r="C11" s="332" t="n"/>
      <c r="D11" s="332" t="n"/>
      <c r="E11" s="332" t="n"/>
      <c r="F11" s="256" t="inlineStr">
        <is>
          <t>на ед. изм.</t>
        </is>
      </c>
      <c r="G11" s="256" t="inlineStr">
        <is>
          <t>общая</t>
        </is>
      </c>
      <c r="H11" s="332" t="n"/>
      <c r="I11" s="256" t="inlineStr">
        <is>
          <t>на ед. изм.</t>
        </is>
      </c>
      <c r="J11" s="256" t="inlineStr">
        <is>
          <t>общая</t>
        </is>
      </c>
      <c r="M11" s="197" t="n"/>
      <c r="N11" s="197" t="n"/>
    </row>
    <row r="12">
      <c r="A12" s="256" t="n">
        <v>1</v>
      </c>
      <c r="B12" s="256" t="n">
        <v>2</v>
      </c>
      <c r="C12" s="256" t="n">
        <v>3</v>
      </c>
      <c r="D12" s="256" t="n">
        <v>4</v>
      </c>
      <c r="E12" s="256" t="n">
        <v>5</v>
      </c>
      <c r="F12" s="256" t="n">
        <v>6</v>
      </c>
      <c r="G12" s="256" t="n">
        <v>7</v>
      </c>
      <c r="H12" s="256" t="n">
        <v>8</v>
      </c>
      <c r="I12" s="251" t="n">
        <v>9</v>
      </c>
      <c r="J12" s="251" t="n">
        <v>10</v>
      </c>
      <c r="M12" s="197" t="n"/>
      <c r="N12" s="197" t="n"/>
    </row>
    <row r="13">
      <c r="A13" s="256" t="n"/>
      <c r="B13" s="245" t="inlineStr">
        <is>
          <t>Затраты труда рабочих-строителей</t>
        </is>
      </c>
      <c r="C13" s="329" t="n"/>
      <c r="D13" s="329" t="n"/>
      <c r="E13" s="329" t="n"/>
      <c r="F13" s="329" t="n"/>
      <c r="G13" s="329" t="n"/>
      <c r="H13" s="330" t="n"/>
      <c r="I13" s="127" t="n"/>
      <c r="J13" s="127" t="n"/>
    </row>
    <row r="14" ht="25.5" customHeight="1" s="211">
      <c r="A14" s="256" t="n">
        <v>1</v>
      </c>
      <c r="B14" s="137" t="inlineStr">
        <is>
          <t>1-4-0</t>
        </is>
      </c>
      <c r="C14" s="255" t="inlineStr">
        <is>
          <t>Затраты труда рабочих-строителей среднего разряда (4,0)</t>
        </is>
      </c>
      <c r="D14" s="256" t="inlineStr">
        <is>
          <t>чел.-ч.</t>
        </is>
      </c>
      <c r="E14" s="337">
        <f>G14/F14</f>
        <v/>
      </c>
      <c r="F14" s="32" t="n">
        <v>9.619999999999999</v>
      </c>
      <c r="G14" s="32">
        <f>'Прил. 3'!H11</f>
        <v/>
      </c>
      <c r="H14" s="130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197">
      <c r="A15" s="256" t="n"/>
      <c r="B15" s="256" t="n"/>
      <c r="C15" s="245" t="inlineStr">
        <is>
          <t>Итого по разделу "Затраты труда рабочих-строителей"</t>
        </is>
      </c>
      <c r="D15" s="256" t="inlineStr">
        <is>
          <t>чел.-ч.</t>
        </is>
      </c>
      <c r="E15" s="337">
        <f>SUM(E14:E14)</f>
        <v/>
      </c>
      <c r="F15" s="32" t="n"/>
      <c r="G15" s="32">
        <f>SUM(G14:G14)</f>
        <v/>
      </c>
      <c r="H15" s="259" t="n">
        <v>1</v>
      </c>
      <c r="I15" s="127" t="n"/>
      <c r="J15" s="32">
        <f>SUM(J14:J14)</f>
        <v/>
      </c>
    </row>
    <row r="16" ht="14.25" customFormat="1" customHeight="1" s="197">
      <c r="A16" s="256" t="n"/>
      <c r="B16" s="255" t="inlineStr">
        <is>
          <t>Затраты труда машинистов</t>
        </is>
      </c>
      <c r="C16" s="329" t="n"/>
      <c r="D16" s="329" t="n"/>
      <c r="E16" s="329" t="n"/>
      <c r="F16" s="329" t="n"/>
      <c r="G16" s="329" t="n"/>
      <c r="H16" s="330" t="n"/>
      <c r="I16" s="127" t="n"/>
      <c r="J16" s="127" t="n"/>
    </row>
    <row r="17" ht="14.25" customFormat="1" customHeight="1" s="197">
      <c r="A17" s="256" t="n">
        <v>2</v>
      </c>
      <c r="B17" s="256" t="n">
        <v>2</v>
      </c>
      <c r="C17" s="255" t="inlineStr">
        <is>
          <t>Затраты труда машинистов</t>
        </is>
      </c>
      <c r="D17" s="256" t="inlineStr">
        <is>
          <t>чел.-ч.</t>
        </is>
      </c>
      <c r="E17" s="337" t="n">
        <v>3.76</v>
      </c>
      <c r="F17" s="32">
        <f>G17/E17</f>
        <v/>
      </c>
      <c r="G17" s="32">
        <f>'Прил. 3'!H13</f>
        <v/>
      </c>
      <c r="H17" s="259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97">
      <c r="A18" s="256" t="n"/>
      <c r="B18" s="245" t="inlineStr">
        <is>
          <t>Машины и механизмы</t>
        </is>
      </c>
      <c r="C18" s="329" t="n"/>
      <c r="D18" s="329" t="n"/>
      <c r="E18" s="329" t="n"/>
      <c r="F18" s="329" t="n"/>
      <c r="G18" s="329" t="n"/>
      <c r="H18" s="330" t="n"/>
      <c r="I18" s="127" t="n"/>
      <c r="J18" s="127" t="n"/>
    </row>
    <row r="19" ht="14.25" customFormat="1" customHeight="1" s="197">
      <c r="A19" s="256" t="n"/>
      <c r="B19" s="255" t="inlineStr">
        <is>
          <t>Основные машины и механизмы</t>
        </is>
      </c>
      <c r="C19" s="329" t="n"/>
      <c r="D19" s="329" t="n"/>
      <c r="E19" s="329" t="n"/>
      <c r="F19" s="329" t="n"/>
      <c r="G19" s="329" t="n"/>
      <c r="H19" s="330" t="n"/>
      <c r="I19" s="127" t="n"/>
      <c r="J19" s="127" t="n"/>
    </row>
    <row r="20" ht="25.5" customFormat="1" customHeight="1" s="197">
      <c r="A20" s="256" t="n">
        <v>3</v>
      </c>
      <c r="B20" s="137" t="inlineStr">
        <is>
          <t>91.05.05-015</t>
        </is>
      </c>
      <c r="C20" s="255" t="inlineStr">
        <is>
          <t>Краны на автомобильном ходу, грузоподъемность 16 т</t>
        </is>
      </c>
      <c r="D20" s="256" t="inlineStr">
        <is>
          <t>маш.час</t>
        </is>
      </c>
      <c r="E20" s="338" t="n">
        <v>1.88</v>
      </c>
      <c r="F20" s="258" t="n">
        <v>115.4</v>
      </c>
      <c r="G20" s="32">
        <f>ROUND(E20*F20,2)</f>
        <v/>
      </c>
      <c r="H20" s="130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197">
      <c r="A21" s="256" t="n">
        <v>4</v>
      </c>
      <c r="B21" s="137" t="inlineStr">
        <is>
          <t>91.14.02-001</t>
        </is>
      </c>
      <c r="C21" s="255" t="inlineStr">
        <is>
          <t>Автомобили бортовые, грузоподъемность до 5 т</t>
        </is>
      </c>
      <c r="D21" s="256" t="inlineStr">
        <is>
          <t>маш.час</t>
        </is>
      </c>
      <c r="E21" s="338" t="n">
        <v>1.88</v>
      </c>
      <c r="F21" s="258" t="n">
        <v>65.70999999999999</v>
      </c>
      <c r="G21" s="32">
        <f>ROUND(E21*F21,2)</f>
        <v/>
      </c>
      <c r="H21" s="130">
        <f>G21/$G$27</f>
        <v/>
      </c>
      <c r="I21" s="32">
        <f>ROUND(F21*'Прил. 10'!$D$12,2)</f>
        <v/>
      </c>
      <c r="J21" s="32">
        <f>ROUND(I21*E21,2)</f>
        <v/>
      </c>
    </row>
    <row r="22" ht="14.25" customFormat="1" customHeight="1" s="197">
      <c r="A22" s="256" t="n">
        <v>5</v>
      </c>
      <c r="B22" s="137" t="inlineStr">
        <is>
          <t>91.19.12-021</t>
        </is>
      </c>
      <c r="C22" s="255" t="inlineStr">
        <is>
          <t>Насосы вакуумные 3,6 м3/мин</t>
        </is>
      </c>
      <c r="D22" s="256" t="inlineStr">
        <is>
          <t>маш.час</t>
        </is>
      </c>
      <c r="E22" s="338" t="n">
        <v>16.64</v>
      </c>
      <c r="F22" s="258" t="n">
        <v>6.28</v>
      </c>
      <c r="G22" s="32">
        <f>ROUND(E22*F22,2)</f>
        <v/>
      </c>
      <c r="H22" s="130">
        <f>G22/$G$27</f>
        <v/>
      </c>
      <c r="I22" s="32">
        <f>ROUND(F22*'Прил. 10'!$D$12,2)</f>
        <v/>
      </c>
      <c r="J22" s="32">
        <f>ROUND(I22*E22,2)</f>
        <v/>
      </c>
    </row>
    <row r="23" ht="25.5" customFormat="1" customHeight="1" s="197">
      <c r="A23" s="256" t="n">
        <v>6</v>
      </c>
      <c r="B23" s="137" t="inlineStr">
        <is>
          <t>91.21.16-012</t>
        </is>
      </c>
      <c r="C23" s="255" t="inlineStr">
        <is>
          <t>Прессы гидравлические с электроприводом</t>
        </is>
      </c>
      <c r="D23" s="256" t="inlineStr">
        <is>
          <t>маш.час</t>
        </is>
      </c>
      <c r="E23" s="338" t="n">
        <v>63.04</v>
      </c>
      <c r="F23" s="258" t="n">
        <v>1.11</v>
      </c>
      <c r="G23" s="32">
        <f>ROUND(E23*F23,2)</f>
        <v/>
      </c>
      <c r="H23" s="130">
        <f>G23/$G$27</f>
        <v/>
      </c>
      <c r="I23" s="32">
        <f>ROUND(F23*'Прил. 10'!$D$12,2)</f>
        <v/>
      </c>
      <c r="J23" s="32">
        <f>ROUND(I23*E23,2)</f>
        <v/>
      </c>
    </row>
    <row r="24" ht="14.25" customFormat="1" customHeight="1" s="197">
      <c r="A24" s="256" t="n"/>
      <c r="B24" s="256" t="n"/>
      <c r="C24" s="255" t="inlineStr">
        <is>
          <t>Итого основные машины и механизмы</t>
        </is>
      </c>
      <c r="D24" s="256" t="n"/>
      <c r="E24" s="337" t="n"/>
      <c r="F24" s="32" t="n"/>
      <c r="G24" s="32">
        <f>SUM(G20:G23)</f>
        <v/>
      </c>
      <c r="H24" s="259">
        <f>G24/G27</f>
        <v/>
      </c>
      <c r="I24" s="129" t="n"/>
      <c r="J24" s="32">
        <f>SUM(J20:J23)</f>
        <v/>
      </c>
    </row>
    <row r="25" hidden="1" outlineLevel="1" ht="25.5" customFormat="1" customHeight="1" s="197">
      <c r="A25" s="256" t="n">
        <v>7</v>
      </c>
      <c r="B25" s="137" t="inlineStr">
        <is>
          <t>91.17.04-233</t>
        </is>
      </c>
      <c r="C25" s="255" t="inlineStr">
        <is>
          <t>Установки для сварки ручной дуговой (постоянного тока)</t>
        </is>
      </c>
      <c r="D25" s="256" t="inlineStr">
        <is>
          <t>маш.час</t>
        </is>
      </c>
      <c r="E25" s="338" t="n">
        <v>5.94</v>
      </c>
      <c r="F25" s="258" t="n">
        <v>8.1</v>
      </c>
      <c r="G25" s="32">
        <f>ROUND(E25*F25,2)</f>
        <v/>
      </c>
      <c r="H25" s="130">
        <f>G25/$G$27</f>
        <v/>
      </c>
      <c r="I25" s="32">
        <f>ROUND(F25*'Прил. 10'!$D$12,2)</f>
        <v/>
      </c>
      <c r="J25" s="32">
        <f>ROUND(I25*E25,2)</f>
        <v/>
      </c>
    </row>
    <row r="26" collapsed="1" ht="14.25" customFormat="1" customHeight="1" s="197">
      <c r="A26" s="256" t="n"/>
      <c r="B26" s="256" t="n"/>
      <c r="C26" s="255" t="inlineStr">
        <is>
          <t>Итого прочие машины и механизмы</t>
        </is>
      </c>
      <c r="D26" s="256" t="n"/>
      <c r="E26" s="257" t="n"/>
      <c r="F26" s="32" t="n"/>
      <c r="G26" s="129">
        <f>SUM(G25:G25)</f>
        <v/>
      </c>
      <c r="H26" s="130">
        <f>G26/G27</f>
        <v/>
      </c>
      <c r="I26" s="32" t="n"/>
      <c r="J26" s="32">
        <f>SUM(J25:J25)</f>
        <v/>
      </c>
    </row>
    <row r="27" ht="25.5" customFormat="1" customHeight="1" s="197">
      <c r="A27" s="256" t="n"/>
      <c r="B27" s="256" t="n"/>
      <c r="C27" s="245" t="inlineStr">
        <is>
          <t>Итого по разделу «Машины и механизмы»</t>
        </is>
      </c>
      <c r="D27" s="256" t="n"/>
      <c r="E27" s="257" t="n"/>
      <c r="F27" s="32" t="n"/>
      <c r="G27" s="32">
        <f>G26+G24</f>
        <v/>
      </c>
      <c r="H27" s="131" t="n">
        <v>1</v>
      </c>
      <c r="I27" s="132" t="n"/>
      <c r="J27" s="133">
        <f>J26+J24</f>
        <v/>
      </c>
    </row>
    <row r="28" ht="14.25" customFormat="1" customHeight="1" s="197">
      <c r="A28" s="256" t="n"/>
      <c r="B28" s="245" t="inlineStr">
        <is>
          <t>Оборудование</t>
        </is>
      </c>
      <c r="C28" s="329" t="n"/>
      <c r="D28" s="329" t="n"/>
      <c r="E28" s="329" t="n"/>
      <c r="F28" s="329" t="n"/>
      <c r="G28" s="329" t="n"/>
      <c r="H28" s="330" t="n"/>
      <c r="I28" s="127" t="n"/>
      <c r="J28" s="127" t="n"/>
    </row>
    <row r="29">
      <c r="A29" s="256" t="n"/>
      <c r="B29" s="255" t="inlineStr">
        <is>
          <t>Основное оборудование</t>
        </is>
      </c>
      <c r="C29" s="329" t="n"/>
      <c r="D29" s="329" t="n"/>
      <c r="E29" s="329" t="n"/>
      <c r="F29" s="329" t="n"/>
      <c r="G29" s="329" t="n"/>
      <c r="H29" s="330" t="n"/>
      <c r="I29" s="127" t="n"/>
      <c r="J29" s="127" t="n"/>
    </row>
    <row r="30">
      <c r="A30" s="256" t="n"/>
      <c r="B30" s="256" t="n"/>
      <c r="C30" s="255" t="inlineStr">
        <is>
          <t>Итого основное оборудование</t>
        </is>
      </c>
      <c r="D30" s="256" t="n"/>
      <c r="E30" s="338" t="n"/>
      <c r="F30" s="258" t="n"/>
      <c r="G30" s="32" t="n">
        <v>0</v>
      </c>
      <c r="H30" s="130" t="n">
        <v>0</v>
      </c>
      <c r="I30" s="129" t="n"/>
      <c r="J30" s="32" t="n">
        <v>0</v>
      </c>
    </row>
    <row r="31">
      <c r="A31" s="256" t="n"/>
      <c r="B31" s="256" t="n"/>
      <c r="C31" s="255" t="inlineStr">
        <is>
          <t>Итого прочее оборудование</t>
        </is>
      </c>
      <c r="D31" s="256" t="n"/>
      <c r="E31" s="337" t="n"/>
      <c r="F31" s="258" t="n"/>
      <c r="G31" s="32" t="n">
        <v>0</v>
      </c>
      <c r="H31" s="130" t="n">
        <v>0</v>
      </c>
      <c r="I31" s="129" t="n"/>
      <c r="J31" s="32" t="n">
        <v>0</v>
      </c>
    </row>
    <row r="32">
      <c r="A32" s="256" t="n"/>
      <c r="B32" s="256" t="n"/>
      <c r="C32" s="245" t="inlineStr">
        <is>
          <t>Итого по разделу «Оборудование»</t>
        </is>
      </c>
      <c r="D32" s="256" t="n"/>
      <c r="E32" s="257" t="n"/>
      <c r="F32" s="258" t="n"/>
      <c r="G32" s="32">
        <f>G30+G31</f>
        <v/>
      </c>
      <c r="H32" s="130" t="n">
        <v>0</v>
      </c>
      <c r="I32" s="129" t="n"/>
      <c r="J32" s="32">
        <f>J31+J30</f>
        <v/>
      </c>
    </row>
    <row r="33" ht="25.5" customHeight="1" s="211">
      <c r="A33" s="256" t="n"/>
      <c r="B33" s="256" t="n"/>
      <c r="C33" s="255" t="inlineStr">
        <is>
          <t>в том числе технологическое оборудование</t>
        </is>
      </c>
      <c r="D33" s="256" t="n"/>
      <c r="E33" s="338" t="n"/>
      <c r="F33" s="258" t="n"/>
      <c r="G33" s="32">
        <f>'Прил.6 Расчет ОБ'!G12</f>
        <v/>
      </c>
      <c r="H33" s="259" t="n"/>
      <c r="I33" s="129" t="n"/>
      <c r="J33" s="32">
        <f>J32</f>
        <v/>
      </c>
    </row>
    <row r="34" ht="14.25" customFormat="1" customHeight="1" s="197">
      <c r="A34" s="256" t="n"/>
      <c r="B34" s="245" t="inlineStr">
        <is>
          <t>Материалы</t>
        </is>
      </c>
      <c r="C34" s="329" t="n"/>
      <c r="D34" s="329" t="n"/>
      <c r="E34" s="329" t="n"/>
      <c r="F34" s="329" t="n"/>
      <c r="G34" s="329" t="n"/>
      <c r="H34" s="330" t="n"/>
      <c r="I34" s="127" t="n"/>
      <c r="J34" s="127" t="n"/>
    </row>
    <row r="35" ht="14.25" customFormat="1" customHeight="1" s="197">
      <c r="A35" s="251" t="n"/>
      <c r="B35" s="250" t="inlineStr">
        <is>
          <t>Основные материалы</t>
        </is>
      </c>
      <c r="C35" s="339" t="n"/>
      <c r="D35" s="339" t="n"/>
      <c r="E35" s="339" t="n"/>
      <c r="F35" s="339" t="n"/>
      <c r="G35" s="339" t="n"/>
      <c r="H35" s="340" t="n"/>
      <c r="I35" s="140" t="n"/>
      <c r="J35" s="140" t="n"/>
    </row>
    <row r="36" ht="25.5" customFormat="1" customHeight="1" s="197">
      <c r="A36" s="256" t="n">
        <v>8</v>
      </c>
      <c r="B36" s="256" t="inlineStr">
        <is>
          <t>БЦ.91.99</t>
        </is>
      </c>
      <c r="C36" s="171" t="inlineStr">
        <is>
          <t>Муфта концевая 220 кВ сечением до 2500 мм2</t>
        </is>
      </c>
      <c r="D36" s="256" t="inlineStr">
        <is>
          <t>шт</t>
        </is>
      </c>
      <c r="E36" s="338" t="n">
        <v>6</v>
      </c>
      <c r="F36" s="258">
        <f>ROUND(I36/'Прил. 10'!$D$13,2)</f>
        <v/>
      </c>
      <c r="G36" s="32">
        <f>ROUND(E36*F36,2)</f>
        <v/>
      </c>
      <c r="H36" s="130">
        <f>G36/$G$56</f>
        <v/>
      </c>
      <c r="I36" s="32" t="n">
        <v>1264150.94</v>
      </c>
      <c r="J36" s="32">
        <f>ROUND(I36*E36,2)</f>
        <v/>
      </c>
    </row>
    <row r="37" ht="14.25" customFormat="1" customHeight="1" s="197">
      <c r="A37" s="267" t="n"/>
      <c r="B37" s="142" t="n"/>
      <c r="C37" s="143" t="inlineStr">
        <is>
          <t>Итого основные материалы</t>
        </is>
      </c>
      <c r="D37" s="267" t="n"/>
      <c r="E37" s="341" t="n"/>
      <c r="F37" s="133" t="n"/>
      <c r="G37" s="133">
        <f>SUM(G36:G36)</f>
        <v/>
      </c>
      <c r="H37" s="130">
        <f>G37/$G$56</f>
        <v/>
      </c>
      <c r="I37" s="32" t="n"/>
      <c r="J37" s="133">
        <f>SUM(J36:J36)</f>
        <v/>
      </c>
    </row>
    <row r="38" hidden="1" outlineLevel="1" ht="14.25" customFormat="1" customHeight="1" s="197">
      <c r="A38" s="256" t="n">
        <v>9</v>
      </c>
      <c r="B38" s="137" t="inlineStr">
        <is>
          <t>01.7.03.04-0001</t>
        </is>
      </c>
      <c r="C38" s="255" t="inlineStr">
        <is>
          <t>Электроэнергия</t>
        </is>
      </c>
      <c r="D38" s="256" t="inlineStr">
        <is>
          <t>кВт-ч</t>
        </is>
      </c>
      <c r="E38" s="338" t="n">
        <v>2780.54</v>
      </c>
      <c r="F38" s="258" t="n">
        <v>0.4</v>
      </c>
      <c r="G38" s="32">
        <f>ROUND(E38*F38,2)</f>
        <v/>
      </c>
      <c r="H38" s="130">
        <f>G38/$G$56</f>
        <v/>
      </c>
      <c r="I38" s="32">
        <f>ROUND(F38*'Прил. 10'!$D$13,2)</f>
        <v/>
      </c>
      <c r="J38" s="32">
        <f>ROUND(I38*E38,2)</f>
        <v/>
      </c>
    </row>
    <row r="39" hidden="1" outlineLevel="1" ht="14.25" customFormat="1" customHeight="1" s="197">
      <c r="A39" s="256" t="n">
        <v>10</v>
      </c>
      <c r="B39" s="137" t="inlineStr">
        <is>
          <t>01.3.02.01-0002</t>
        </is>
      </c>
      <c r="C39" s="255" t="inlineStr">
        <is>
          <t>Азот газообразный технический</t>
        </is>
      </c>
      <c r="D39" s="256" t="inlineStr">
        <is>
          <t>м3</t>
        </is>
      </c>
      <c r="E39" s="338" t="n">
        <v>90</v>
      </c>
      <c r="F39" s="258" t="n">
        <v>6.21</v>
      </c>
      <c r="G39" s="32">
        <f>ROUND(E39*F39,2)</f>
        <v/>
      </c>
      <c r="H39" s="130">
        <f>G39/$G$56</f>
        <v/>
      </c>
      <c r="I39" s="32">
        <f>ROUND(F39*'Прил. 10'!$D$13,2)</f>
        <v/>
      </c>
      <c r="J39" s="32">
        <f>ROUND(I39*E39,2)</f>
        <v/>
      </c>
    </row>
    <row r="40" hidden="1" outlineLevel="1" ht="14.25" customFormat="1" customHeight="1" s="197">
      <c r="A40" s="256" t="n">
        <v>11</v>
      </c>
      <c r="B40" s="137" t="inlineStr">
        <is>
          <t>01.3.04.08-0025</t>
        </is>
      </c>
      <c r="C40" s="255" t="inlineStr">
        <is>
          <t>Масло кабельное</t>
        </is>
      </c>
      <c r="D40" s="256" t="inlineStr">
        <is>
          <t>кг</t>
        </is>
      </c>
      <c r="E40" s="338" t="n">
        <v>58</v>
      </c>
      <c r="F40" s="258" t="n">
        <v>8.85</v>
      </c>
      <c r="G40" s="32">
        <f>ROUND(E40*F40,2)</f>
        <v/>
      </c>
      <c r="H40" s="130">
        <f>G40/$G$56</f>
        <v/>
      </c>
      <c r="I40" s="32">
        <f>ROUND(F40*'Прил. 10'!$D$13,2)</f>
        <v/>
      </c>
      <c r="J40" s="32">
        <f>ROUND(I40*E40,2)</f>
        <v/>
      </c>
    </row>
    <row r="41" hidden="1" outlineLevel="1" ht="14.25" customFormat="1" customHeight="1" s="197">
      <c r="A41" s="256" t="n">
        <v>12</v>
      </c>
      <c r="B41" s="137" t="inlineStr">
        <is>
          <t>01.7.20.08-0102</t>
        </is>
      </c>
      <c r="C41" s="255" t="inlineStr">
        <is>
          <t>Миткаль суровый</t>
        </is>
      </c>
      <c r="D41" s="256" t="inlineStr">
        <is>
          <t>10 м</t>
        </is>
      </c>
      <c r="E41" s="338" t="n">
        <v>6</v>
      </c>
      <c r="F41" s="258" t="n">
        <v>73.65000000000001</v>
      </c>
      <c r="G41" s="32">
        <f>ROUND(E41*F41,2)</f>
        <v/>
      </c>
      <c r="H41" s="130">
        <f>G41/$G$56</f>
        <v/>
      </c>
      <c r="I41" s="32">
        <f>ROUND(F41*'Прил. 10'!$D$13,2)</f>
        <v/>
      </c>
      <c r="J41" s="32">
        <f>ROUND(I41*E41,2)</f>
        <v/>
      </c>
    </row>
    <row r="42" hidden="1" outlineLevel="1" ht="38.25" customFormat="1" customHeight="1" s="197">
      <c r="A42" s="256" t="n">
        <v>13</v>
      </c>
      <c r="B42" s="137" t="inlineStr">
        <is>
          <t>11.1.03.05-0085</t>
        </is>
      </c>
      <c r="C42" s="255" t="inlineStr">
        <is>
          <t>Доска необрезная, хвойных пород, длина 4-6,5 м, все ширины, толщина 44 мм и более, сорт III</t>
        </is>
      </c>
      <c r="D42" s="256" t="inlineStr">
        <is>
          <t>м3</t>
        </is>
      </c>
      <c r="E42" s="338" t="n">
        <v>0.28</v>
      </c>
      <c r="F42" s="258" t="n">
        <v>684</v>
      </c>
      <c r="G42" s="32">
        <f>ROUND(E42*F42,2)</f>
        <v/>
      </c>
      <c r="H42" s="130">
        <f>G42/$G$56</f>
        <v/>
      </c>
      <c r="I42" s="32">
        <f>ROUND(F42*'Прил. 10'!$D$13,2)</f>
        <v/>
      </c>
      <c r="J42" s="32">
        <f>ROUND(I42*E42,2)</f>
        <v/>
      </c>
    </row>
    <row r="43" hidden="1" outlineLevel="1" ht="14.25" customFormat="1" customHeight="1" s="197">
      <c r="A43" s="256" t="n">
        <v>14</v>
      </c>
      <c r="B43" s="137" t="inlineStr">
        <is>
          <t>01.3.02.08-0001</t>
        </is>
      </c>
      <c r="C43" s="255" t="inlineStr">
        <is>
          <t>Кислород газообразный технический</t>
        </is>
      </c>
      <c r="D43" s="256" t="inlineStr">
        <is>
          <t>м3</t>
        </is>
      </c>
      <c r="E43" s="338" t="n">
        <v>24</v>
      </c>
      <c r="F43" s="258" t="n">
        <v>6.22</v>
      </c>
      <c r="G43" s="32">
        <f>ROUND(E43*F43,2)</f>
        <v/>
      </c>
      <c r="H43" s="130">
        <f>G43/$G$56</f>
        <v/>
      </c>
      <c r="I43" s="32">
        <f>ROUND(F43*'Прил. 10'!$D$13,2)</f>
        <v/>
      </c>
      <c r="J43" s="32">
        <f>ROUND(I43*E43,2)</f>
        <v/>
      </c>
    </row>
    <row r="44" hidden="1" outlineLevel="1" ht="14.25" customFormat="1" customHeight="1" s="197">
      <c r="A44" s="256" t="n">
        <v>15</v>
      </c>
      <c r="B44" s="137" t="inlineStr">
        <is>
          <t>01.3.04.08-0024</t>
        </is>
      </c>
      <c r="C44" s="255" t="inlineStr">
        <is>
          <t>Масло изоляционное</t>
        </is>
      </c>
      <c r="D44" s="256" t="inlineStr">
        <is>
          <t>кг</t>
        </is>
      </c>
      <c r="E44" s="338" t="n">
        <v>40</v>
      </c>
      <c r="F44" s="258" t="n">
        <v>3.27</v>
      </c>
      <c r="G44" s="32">
        <f>ROUND(E44*F44,2)</f>
        <v/>
      </c>
      <c r="H44" s="130">
        <f>G44/$G$56</f>
        <v/>
      </c>
      <c r="I44" s="32">
        <f>ROUND(F44*'Прил. 10'!$D$13,2)</f>
        <v/>
      </c>
      <c r="J44" s="32">
        <f>ROUND(I44*E44,2)</f>
        <v/>
      </c>
    </row>
    <row r="45" hidden="1" outlineLevel="1" ht="25.5" customFormat="1" customHeight="1" s="197">
      <c r="A45" s="256" t="n">
        <v>16</v>
      </c>
      <c r="B45" s="137" t="inlineStr">
        <is>
          <t>25.1.01.04-0031</t>
        </is>
      </c>
      <c r="C45" s="255" t="inlineStr">
        <is>
          <t>Шпалы непропитанные для железных дорог, тип I</t>
        </is>
      </c>
      <c r="D45" s="256" t="inlineStr">
        <is>
          <t>шт</t>
        </is>
      </c>
      <c r="E45" s="338" t="n">
        <v>0.28</v>
      </c>
      <c r="F45" s="258" t="n">
        <v>266.67</v>
      </c>
      <c r="G45" s="32">
        <f>ROUND(E45*F45,2)</f>
        <v/>
      </c>
      <c r="H45" s="130">
        <f>G45/$G$56</f>
        <v/>
      </c>
      <c r="I45" s="32">
        <f>ROUND(F45*'Прил. 10'!$D$13,2)</f>
        <v/>
      </c>
      <c r="J45" s="32">
        <f>ROUND(I45*E45,2)</f>
        <v/>
      </c>
    </row>
    <row r="46" hidden="1" outlineLevel="1" ht="25.5" customFormat="1" customHeight="1" s="197">
      <c r="A46" s="256" t="n">
        <v>17</v>
      </c>
      <c r="B46" s="137" t="inlineStr">
        <is>
          <t>10.3.02.03-0011</t>
        </is>
      </c>
      <c r="C46" s="255" t="inlineStr">
        <is>
          <t>Припои оловянно-свинцовые бессурьмянистые, марка ПОС30</t>
        </is>
      </c>
      <c r="D46" s="256" t="inlineStr">
        <is>
          <t>т</t>
        </is>
      </c>
      <c r="E46" s="338" t="n">
        <v>0.001</v>
      </c>
      <c r="F46" s="258" t="n">
        <v>68050</v>
      </c>
      <c r="G46" s="32">
        <f>ROUND(E46*F46,2)</f>
        <v/>
      </c>
      <c r="H46" s="130">
        <f>G46/$G$56</f>
        <v/>
      </c>
      <c r="I46" s="32">
        <f>ROUND(F46*'Прил. 10'!$D$13,2)</f>
        <v/>
      </c>
      <c r="J46" s="32">
        <f>ROUND(I46*E46,2)</f>
        <v/>
      </c>
    </row>
    <row r="47" hidden="1" outlineLevel="1" ht="25.5" customFormat="1" customHeight="1" s="197">
      <c r="A47" s="256" t="n">
        <v>18</v>
      </c>
      <c r="B47" s="137" t="inlineStr">
        <is>
          <t>01.7.11.07-0034</t>
        </is>
      </c>
      <c r="C47" s="255" t="inlineStr">
        <is>
          <t>Электроды сварочные Э42А, диаметр 4 мм</t>
        </is>
      </c>
      <c r="D47" s="256" t="inlineStr">
        <is>
          <t>кг</t>
        </is>
      </c>
      <c r="E47" s="338" t="n">
        <v>6.4</v>
      </c>
      <c r="F47" s="258" t="n">
        <v>10.57</v>
      </c>
      <c r="G47" s="32">
        <f>ROUND(E47*F47,2)</f>
        <v/>
      </c>
      <c r="H47" s="130">
        <f>G47/$G$56</f>
        <v/>
      </c>
      <c r="I47" s="32">
        <f>ROUND(F47*'Прил. 10'!$D$13,2)</f>
        <v/>
      </c>
      <c r="J47" s="32">
        <f>ROUND(I47*E47,2)</f>
        <v/>
      </c>
    </row>
    <row r="48" hidden="1" outlineLevel="1" ht="14.25" customFormat="1" customHeight="1" s="197">
      <c r="A48" s="256" t="n">
        <v>19</v>
      </c>
      <c r="B48" s="137" t="inlineStr">
        <is>
          <t>01.3.02.09-0022</t>
        </is>
      </c>
      <c r="C48" s="255" t="inlineStr">
        <is>
          <t>Пропан-бутан смесь техническая</t>
        </is>
      </c>
      <c r="D48" s="256" t="inlineStr">
        <is>
          <t>кг</t>
        </is>
      </c>
      <c r="E48" s="338" t="n">
        <v>8</v>
      </c>
      <c r="F48" s="258" t="n">
        <v>6.09</v>
      </c>
      <c r="G48" s="32">
        <f>ROUND(E48*F48,2)</f>
        <v/>
      </c>
      <c r="H48" s="130">
        <f>G48/$G$56</f>
        <v/>
      </c>
      <c r="I48" s="32">
        <f>ROUND(F48*'Прил. 10'!$D$13,2)</f>
        <v/>
      </c>
      <c r="J48" s="32">
        <f>ROUND(I48*E48,2)</f>
        <v/>
      </c>
    </row>
    <row r="49" hidden="1" outlineLevel="1" ht="25.5" customFormat="1" customHeight="1" s="197">
      <c r="A49" s="256" t="n">
        <v>20</v>
      </c>
      <c r="B49" s="137" t="inlineStr">
        <is>
          <t>01.1.02.02-0022</t>
        </is>
      </c>
      <c r="C49" s="255" t="inlineStr">
        <is>
          <t>Бумага асбестовая электроизоляционная БЭ, толщина 0,2 мм</t>
        </is>
      </c>
      <c r="D49" s="256" t="inlineStr">
        <is>
          <t>т</t>
        </is>
      </c>
      <c r="E49" s="338" t="n">
        <v>0.004</v>
      </c>
      <c r="F49" s="258" t="n">
        <v>11549</v>
      </c>
      <c r="G49" s="32">
        <f>ROUND(E49*F49,2)</f>
        <v/>
      </c>
      <c r="H49" s="130">
        <f>G49/$G$56</f>
        <v/>
      </c>
      <c r="I49" s="32">
        <f>ROUND(F49*'Прил. 10'!$D$13,2)</f>
        <v/>
      </c>
      <c r="J49" s="32">
        <f>ROUND(I49*E49,2)</f>
        <v/>
      </c>
    </row>
    <row r="50" hidden="1" outlineLevel="1" ht="25.5" customFormat="1" customHeight="1" s="197">
      <c r="A50" s="256" t="n">
        <v>21</v>
      </c>
      <c r="B50" s="137" t="inlineStr">
        <is>
          <t>01.7.07.12-0022</t>
        </is>
      </c>
      <c r="C50" s="255" t="inlineStr">
        <is>
          <t>Пленка полиэтиленовая, толщина 0,2-0,5 мм</t>
        </is>
      </c>
      <c r="D50" s="256" t="inlineStr">
        <is>
          <t>м2</t>
        </is>
      </c>
      <c r="E50" s="338" t="n">
        <v>3.066</v>
      </c>
      <c r="F50" s="258" t="n">
        <v>12.19</v>
      </c>
      <c r="G50" s="32">
        <f>ROUND(E50*F50,2)</f>
        <v/>
      </c>
      <c r="H50" s="130">
        <f>G50/$G$56</f>
        <v/>
      </c>
      <c r="I50" s="32">
        <f>ROUND(F50*'Прил. 10'!$D$13,2)</f>
        <v/>
      </c>
      <c r="J50" s="32">
        <f>ROUND(I50*E50,2)</f>
        <v/>
      </c>
    </row>
    <row r="51" hidden="1" outlineLevel="1" ht="38.25" customFormat="1" customHeight="1" s="197">
      <c r="A51" s="256" t="n">
        <v>22</v>
      </c>
      <c r="B51" s="137" t="inlineStr">
        <is>
          <t>01.7.06.05-0041</t>
        </is>
      </c>
      <c r="C51" s="255" t="inlineStr">
        <is>
          <t>Лента изоляционная прорезиненная односторонняя, ширина 20 мм, толщина 0,25-0,35 мм</t>
        </is>
      </c>
      <c r="D51" s="256" t="inlineStr">
        <is>
          <t>кг</t>
        </is>
      </c>
      <c r="E51" s="338" t="n">
        <v>0.8</v>
      </c>
      <c r="F51" s="258" t="n">
        <v>30.4</v>
      </c>
      <c r="G51" s="32">
        <f>ROUND(E51*F51,2)</f>
        <v/>
      </c>
      <c r="H51" s="130">
        <f>G51/$G$56</f>
        <v/>
      </c>
      <c r="I51" s="32">
        <f>ROUND(F51*'Прил. 10'!$D$13,2)</f>
        <v/>
      </c>
      <c r="J51" s="32">
        <f>ROUND(I51*E51,2)</f>
        <v/>
      </c>
    </row>
    <row r="52" hidden="1" outlineLevel="1" ht="38.25" customFormat="1" customHeight="1" s="197">
      <c r="A52" s="256" t="n">
        <v>23</v>
      </c>
      <c r="B52" s="137" t="inlineStr">
        <is>
          <t>10.2.02.08-0001</t>
        </is>
      </c>
      <c r="C52" s="255" t="inlineStr">
        <is>
          <t>Проволока медная, круглая, мягкая, электротехническая, диаметр 1,0-3,0 мм и выше</t>
        </is>
      </c>
      <c r="D52" s="256" t="inlineStr">
        <is>
          <t>т</t>
        </is>
      </c>
      <c r="E52" s="338" t="n">
        <v>0.0005999999999999999</v>
      </c>
      <c r="F52" s="258" t="n">
        <v>37517</v>
      </c>
      <c r="G52" s="32">
        <f>ROUND(E52*F52,2)</f>
        <v/>
      </c>
      <c r="H52" s="130">
        <f>G52/$G$56</f>
        <v/>
      </c>
      <c r="I52" s="32">
        <f>ROUND(F52*'Прил. 10'!$D$13,2)</f>
        <v/>
      </c>
      <c r="J52" s="32">
        <f>ROUND(I52*E52,2)</f>
        <v/>
      </c>
    </row>
    <row r="53" hidden="1" outlineLevel="1" ht="25.5" customFormat="1" customHeight="1" s="197">
      <c r="A53" s="256" t="n">
        <v>24</v>
      </c>
      <c r="B53" s="137" t="inlineStr">
        <is>
          <t>01.3.01.07-0009</t>
        </is>
      </c>
      <c r="C53" s="255" t="inlineStr">
        <is>
          <t>Спирт этиловый ректификованный технический, сорт I</t>
        </is>
      </c>
      <c r="D53" s="256" t="inlineStr">
        <is>
          <t>кг</t>
        </is>
      </c>
      <c r="E53" s="338" t="n">
        <v>0.48</v>
      </c>
      <c r="F53" s="258" t="n">
        <v>38.89</v>
      </c>
      <c r="G53" s="32">
        <f>ROUND(E53*F53,2)</f>
        <v/>
      </c>
      <c r="H53" s="130">
        <f>G53/$G$56</f>
        <v/>
      </c>
      <c r="I53" s="32">
        <f>ROUND(F53*'Прил. 10'!$D$13,2)</f>
        <v/>
      </c>
      <c r="J53" s="32">
        <f>ROUND(I53*E53,2)</f>
        <v/>
      </c>
    </row>
    <row r="54" hidden="1" outlineLevel="1" ht="14.25" customFormat="1" customHeight="1" s="197">
      <c r="A54" s="256" t="n">
        <v>25</v>
      </c>
      <c r="B54" s="137" t="inlineStr">
        <is>
          <t>01.3.01.01-0001</t>
        </is>
      </c>
      <c r="C54" s="255" t="inlineStr">
        <is>
          <t>Бензин авиационный Б-70</t>
        </is>
      </c>
      <c r="D54" s="256" t="inlineStr">
        <is>
          <t>т</t>
        </is>
      </c>
      <c r="E54" s="338" t="n">
        <v>0.004</v>
      </c>
      <c r="F54" s="258" t="n">
        <v>4488.4</v>
      </c>
      <c r="G54" s="32">
        <f>ROUND(E54*F54,2)</f>
        <v/>
      </c>
      <c r="H54" s="130">
        <f>G54/$G$56</f>
        <v/>
      </c>
      <c r="I54" s="32">
        <f>ROUND(F54*'Прил. 10'!$D$13,2)</f>
        <v/>
      </c>
      <c r="J54" s="32">
        <f>ROUND(I54*E54,2)</f>
        <v/>
      </c>
    </row>
    <row r="55" collapsed="1" ht="14.25" customFormat="1" customHeight="1" s="197">
      <c r="A55" s="267" t="n"/>
      <c r="B55" s="267" t="n"/>
      <c r="C55" s="143" t="inlineStr">
        <is>
          <t>Итого прочие материалы</t>
        </is>
      </c>
      <c r="D55" s="267" t="n"/>
      <c r="E55" s="341" t="n"/>
      <c r="F55" s="181" t="n"/>
      <c r="G55" s="133">
        <f>SUM(G38:G54)</f>
        <v/>
      </c>
      <c r="H55" s="130">
        <f>G55/$G$56</f>
        <v/>
      </c>
      <c r="I55" s="32" t="n"/>
      <c r="J55" s="32">
        <f>SUM(J38:J54)</f>
        <v/>
      </c>
    </row>
    <row r="56" ht="14.25" customFormat="1" customHeight="1" s="197">
      <c r="A56" s="256" t="n"/>
      <c r="B56" s="256" t="n"/>
      <c r="C56" s="245" t="inlineStr">
        <is>
          <t>Итого по разделу «Материалы»</t>
        </is>
      </c>
      <c r="D56" s="256" t="n"/>
      <c r="E56" s="257" t="n"/>
      <c r="F56" s="258" t="n"/>
      <c r="G56" s="32">
        <f>G37+G55</f>
        <v/>
      </c>
      <c r="H56" s="259">
        <f>G56/$G$56</f>
        <v/>
      </c>
      <c r="I56" s="32" t="n"/>
      <c r="J56" s="32">
        <f>J37+J55</f>
        <v/>
      </c>
    </row>
    <row r="57" ht="14.25" customFormat="1" customHeight="1" s="197">
      <c r="A57" s="256" t="n"/>
      <c r="B57" s="256" t="n"/>
      <c r="C57" s="255" t="inlineStr">
        <is>
          <t>ИТОГО ПО РМ</t>
        </is>
      </c>
      <c r="D57" s="256" t="n"/>
      <c r="E57" s="257" t="n"/>
      <c r="F57" s="258" t="n"/>
      <c r="G57" s="32">
        <f>G15+G27+G56</f>
        <v/>
      </c>
      <c r="H57" s="259" t="n"/>
      <c r="I57" s="32" t="n"/>
      <c r="J57" s="32">
        <f>J15+J27+J56</f>
        <v/>
      </c>
    </row>
    <row r="58" ht="14.25" customFormat="1" customHeight="1" s="197">
      <c r="A58" s="256" t="n"/>
      <c r="B58" s="256" t="n"/>
      <c r="C58" s="255" t="inlineStr">
        <is>
          <t>Накладные расходы</t>
        </is>
      </c>
      <c r="D58" s="135">
        <f>ROUND(G58/(G$17+$G$15),2)</f>
        <v/>
      </c>
      <c r="E58" s="257" t="n"/>
      <c r="F58" s="258" t="n"/>
      <c r="G58" s="32" t="n">
        <v>10198.33</v>
      </c>
      <c r="H58" s="259" t="n"/>
      <c r="I58" s="32" t="n"/>
      <c r="J58" s="32">
        <f>ROUND(D58*(J15+J17),2)</f>
        <v/>
      </c>
    </row>
    <row r="59" ht="14.25" customFormat="1" customHeight="1" s="197">
      <c r="A59" s="256" t="n"/>
      <c r="B59" s="256" t="n"/>
      <c r="C59" s="255" t="inlineStr">
        <is>
          <t>Сметная прибыль</t>
        </is>
      </c>
      <c r="D59" s="135">
        <f>ROUND(G59/(G$15+G$17),2)</f>
        <v/>
      </c>
      <c r="E59" s="257" t="n"/>
      <c r="F59" s="258" t="n"/>
      <c r="G59" s="32" t="n">
        <v>5362.01</v>
      </c>
      <c r="H59" s="259" t="n"/>
      <c r="I59" s="32" t="n"/>
      <c r="J59" s="32">
        <f>ROUND(D59*(J15+J17),2)</f>
        <v/>
      </c>
    </row>
    <row r="60" ht="14.25" customFormat="1" customHeight="1" s="197">
      <c r="A60" s="256" t="n"/>
      <c r="B60" s="256" t="n"/>
      <c r="C60" s="255" t="inlineStr">
        <is>
          <t>Итого СМР (с НР и СП)</t>
        </is>
      </c>
      <c r="D60" s="256" t="n"/>
      <c r="E60" s="257" t="n"/>
      <c r="F60" s="258" t="n"/>
      <c r="G60" s="32">
        <f>G15+G27+G56+G58+G59</f>
        <v/>
      </c>
      <c r="H60" s="259" t="n"/>
      <c r="I60" s="32" t="n"/>
      <c r="J60" s="32">
        <f>J15+J27+J56+J58+J59</f>
        <v/>
      </c>
    </row>
    <row r="61" ht="14.25" customFormat="1" customHeight="1" s="197">
      <c r="A61" s="256" t="n"/>
      <c r="B61" s="256" t="n"/>
      <c r="C61" s="255" t="inlineStr">
        <is>
          <t>ВСЕГО СМР + ОБОРУДОВАНИЕ</t>
        </is>
      </c>
      <c r="D61" s="256" t="n"/>
      <c r="E61" s="257" t="n"/>
      <c r="F61" s="258" t="n"/>
      <c r="G61" s="32">
        <f>G60+G32</f>
        <v/>
      </c>
      <c r="H61" s="259" t="n"/>
      <c r="I61" s="32" t="n"/>
      <c r="J61" s="32">
        <f>J60+J32</f>
        <v/>
      </c>
    </row>
    <row r="62" ht="34.5" customFormat="1" customHeight="1" s="197">
      <c r="A62" s="256" t="n"/>
      <c r="B62" s="256" t="n"/>
      <c r="C62" s="255" t="inlineStr">
        <is>
          <t>ИТОГО ПОКАЗАТЕЛЬ НА ЕД. ИЗМ.</t>
        </is>
      </c>
      <c r="D62" s="256" t="inlineStr">
        <is>
          <t>1 ед</t>
        </is>
      </c>
      <c r="E62" s="338" t="n">
        <v>1</v>
      </c>
      <c r="F62" s="258" t="n"/>
      <c r="G62" s="32">
        <f>G61/E62</f>
        <v/>
      </c>
      <c r="H62" s="259" t="n"/>
      <c r="I62" s="32" t="n"/>
      <c r="J62" s="32">
        <f>J61/E62</f>
        <v/>
      </c>
    </row>
    <row r="64" ht="14.25" customFormat="1" customHeight="1" s="197">
      <c r="A64" s="196" t="inlineStr">
        <is>
          <t>Составил ______________________    А.Р. Маркова</t>
        </is>
      </c>
    </row>
    <row r="65" ht="14.25" customFormat="1" customHeight="1" s="197">
      <c r="A65" s="199" t="inlineStr">
        <is>
          <t xml:space="preserve">                         (подпись, инициалы, фамилия)</t>
        </is>
      </c>
    </row>
    <row r="66" ht="14.25" customFormat="1" customHeight="1" s="197">
      <c r="A66" s="196" t="n"/>
    </row>
    <row r="67" ht="14.25" customFormat="1" customHeight="1" s="197">
      <c r="A67" s="196" t="inlineStr">
        <is>
          <t>Проверил ______________________        А.В. Костянецкая</t>
        </is>
      </c>
    </row>
    <row r="68" ht="14.25" customFormat="1" customHeight="1" s="197">
      <c r="A68" s="199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19"/>
  <sheetViews>
    <sheetView view="pageBreakPreview" workbookViewId="0">
      <selection activeCell="D15" sqref="D15"/>
    </sheetView>
  </sheetViews>
  <sheetFormatPr baseColWidth="8" defaultRowHeight="15"/>
  <cols>
    <col width="5.7109375" customWidth="1" style="211" min="1" max="1"/>
    <col width="17.5703125" customWidth="1" style="211" min="2" max="2"/>
    <col width="39.140625" customWidth="1" style="211" min="3" max="3"/>
    <col width="10.7109375" customWidth="1" style="211" min="4" max="4"/>
    <col width="13.85546875" customWidth="1" style="211" min="5" max="5"/>
    <col width="13.28515625" customWidth="1" style="211" min="6" max="6"/>
    <col width="14.140625" customWidth="1" style="211" min="7" max="7"/>
  </cols>
  <sheetData>
    <row r="1">
      <c r="A1" s="269" t="inlineStr">
        <is>
          <t>Приложение №6</t>
        </is>
      </c>
    </row>
    <row r="2" ht="21.75" customHeight="1" s="211">
      <c r="A2" s="269" t="n"/>
      <c r="B2" s="269" t="n"/>
      <c r="C2" s="269" t="n"/>
      <c r="D2" s="269" t="n"/>
      <c r="E2" s="269" t="n"/>
      <c r="F2" s="269" t="n"/>
      <c r="G2" s="269" t="n"/>
    </row>
    <row r="3">
      <c r="A3" s="227" t="inlineStr">
        <is>
          <t>Расчет стоимости оборудования</t>
        </is>
      </c>
    </row>
    <row r="4" ht="25.5" customHeight="1" s="211">
      <c r="A4" s="230" t="inlineStr">
        <is>
          <t>Наименование разрабатываемого показателя УНЦ — Муфта концевая 220 кВ сечением до 2500 мм2</t>
        </is>
      </c>
    </row>
    <row r="5">
      <c r="A5" s="196" t="n"/>
      <c r="B5" s="196" t="n"/>
      <c r="C5" s="196" t="n"/>
      <c r="D5" s="196" t="n"/>
      <c r="E5" s="196" t="n"/>
      <c r="F5" s="196" t="n"/>
      <c r="G5" s="196" t="n"/>
    </row>
    <row r="6" ht="30" customHeight="1" s="211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6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30" t="n"/>
    </row>
    <row r="7">
      <c r="A7" s="332" t="n"/>
      <c r="B7" s="332" t="n"/>
      <c r="C7" s="332" t="n"/>
      <c r="D7" s="332" t="n"/>
      <c r="E7" s="332" t="n"/>
      <c r="F7" s="256" t="inlineStr">
        <is>
          <t>на ед. изм.</t>
        </is>
      </c>
      <c r="G7" s="256" t="inlineStr">
        <is>
          <t>общая</t>
        </is>
      </c>
    </row>
    <row r="8">
      <c r="A8" s="256" t="n">
        <v>1</v>
      </c>
      <c r="B8" s="256" t="n">
        <v>2</v>
      </c>
      <c r="C8" s="256" t="n">
        <v>3</v>
      </c>
      <c r="D8" s="256" t="n">
        <v>4</v>
      </c>
      <c r="E8" s="256" t="n">
        <v>5</v>
      </c>
      <c r="F8" s="256" t="n">
        <v>6</v>
      </c>
      <c r="G8" s="256" t="n">
        <v>7</v>
      </c>
    </row>
    <row r="9" ht="15" customHeight="1" s="211">
      <c r="A9" s="25" t="n"/>
      <c r="B9" s="255" t="inlineStr">
        <is>
          <t>ИНЖЕНЕРНОЕ ОБОРУДОВАНИЕ</t>
        </is>
      </c>
      <c r="C9" s="329" t="n"/>
      <c r="D9" s="329" t="n"/>
      <c r="E9" s="329" t="n"/>
      <c r="F9" s="329" t="n"/>
      <c r="G9" s="330" t="n"/>
    </row>
    <row r="10" ht="27" customHeight="1" s="211">
      <c r="A10" s="256" t="n"/>
      <c r="B10" s="245" t="n"/>
      <c r="C10" s="255" t="inlineStr">
        <is>
          <t>ИТОГО ИНЖЕНЕРНОЕ ОБОРУДОВАНИЕ</t>
        </is>
      </c>
      <c r="D10" s="245" t="n"/>
      <c r="E10" s="105" t="n"/>
      <c r="F10" s="258" t="n"/>
      <c r="G10" s="258" t="n">
        <v>0</v>
      </c>
    </row>
    <row r="11">
      <c r="A11" s="256" t="n"/>
      <c r="B11" s="255" t="inlineStr">
        <is>
          <t>ТЕХНОЛОГИЧЕСКОЕ ОБОРУДОВАНИЕ</t>
        </is>
      </c>
      <c r="C11" s="329" t="n"/>
      <c r="D11" s="329" t="n"/>
      <c r="E11" s="329" t="n"/>
      <c r="F11" s="329" t="n"/>
      <c r="G11" s="330" t="n"/>
    </row>
    <row r="12" ht="25.5" customHeight="1" s="211">
      <c r="A12" s="256" t="n"/>
      <c r="B12" s="255" t="n"/>
      <c r="C12" s="255" t="inlineStr">
        <is>
          <t>ИТОГО ТЕХНОЛОГИЧЕСКОЕ ОБОРУДОВАНИЕ</t>
        </is>
      </c>
      <c r="D12" s="255" t="n"/>
      <c r="E12" s="273" t="n"/>
      <c r="F12" s="258" t="n"/>
      <c r="G12" s="32" t="n">
        <v>0</v>
      </c>
    </row>
    <row r="13" ht="19.5" customHeight="1" s="211">
      <c r="A13" s="256" t="n"/>
      <c r="B13" s="255" t="n"/>
      <c r="C13" s="255" t="inlineStr">
        <is>
          <t>Всего по разделу «Оборудование»</t>
        </is>
      </c>
      <c r="D13" s="255" t="n"/>
      <c r="E13" s="273" t="n"/>
      <c r="F13" s="258" t="n"/>
      <c r="G13" s="32">
        <f>G10+G12</f>
        <v/>
      </c>
    </row>
    <row r="14">
      <c r="A14" s="198" t="n"/>
      <c r="B14" s="106" t="n"/>
      <c r="C14" s="198" t="n"/>
      <c r="D14" s="198" t="n"/>
      <c r="E14" s="198" t="n"/>
      <c r="F14" s="198" t="n"/>
      <c r="G14" s="198" t="n"/>
    </row>
    <row r="15">
      <c r="A15" s="196" t="inlineStr">
        <is>
          <t>Составил ______________________    А.Р. Маркова</t>
        </is>
      </c>
      <c r="B15" s="197" t="n"/>
      <c r="C15" s="197" t="n"/>
      <c r="D15" s="198" t="n"/>
      <c r="E15" s="198" t="n"/>
      <c r="F15" s="198" t="n"/>
      <c r="G15" s="198" t="n"/>
    </row>
    <row r="16">
      <c r="A16" s="199" t="inlineStr">
        <is>
          <t xml:space="preserve">                         (подпись, инициалы, фамилия)</t>
        </is>
      </c>
      <c r="B16" s="197" t="n"/>
      <c r="C16" s="197" t="n"/>
      <c r="D16" s="198" t="n"/>
      <c r="E16" s="198" t="n"/>
      <c r="F16" s="198" t="n"/>
      <c r="G16" s="198" t="n"/>
    </row>
    <row r="17">
      <c r="A17" s="196" t="n"/>
      <c r="B17" s="197" t="n"/>
      <c r="C17" s="197" t="n"/>
      <c r="D17" s="198" t="n"/>
      <c r="E17" s="198" t="n"/>
      <c r="F17" s="198" t="n"/>
      <c r="G17" s="198" t="n"/>
    </row>
    <row r="18">
      <c r="A18" s="196" t="inlineStr">
        <is>
          <t>Проверил ______________________        А.В. Костянецкая</t>
        </is>
      </c>
      <c r="B18" s="197" t="n"/>
      <c r="C18" s="197" t="n"/>
      <c r="D18" s="198" t="n"/>
      <c r="E18" s="198" t="n"/>
      <c r="F18" s="198" t="n"/>
      <c r="G18" s="198" t="n"/>
    </row>
    <row r="19">
      <c r="A19" s="199" t="inlineStr">
        <is>
          <t xml:space="preserve">                        (подпись, инициалы, фамилия)</t>
        </is>
      </c>
      <c r="B19" s="197" t="n"/>
      <c r="C19" s="197" t="n"/>
      <c r="D19" s="198" t="n"/>
      <c r="E19" s="198" t="n"/>
      <c r="F19" s="198" t="n"/>
      <c r="G19" s="19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3" sqref="D13"/>
    </sheetView>
  </sheetViews>
  <sheetFormatPr baseColWidth="8" defaultRowHeight="15"/>
  <cols>
    <col width="12.7109375" customWidth="1" style="211" min="1" max="1"/>
    <col width="22.42578125" customWidth="1" style="211" min="2" max="2"/>
    <col width="37.140625" customWidth="1" style="211" min="3" max="3"/>
    <col width="49" customWidth="1" style="211" min="4" max="4"/>
    <col width="9.140625" customWidth="1" style="211" min="5" max="5"/>
  </cols>
  <sheetData>
    <row r="1" ht="15.75" customHeight="1" s="211">
      <c r="A1" s="213" t="n"/>
      <c r="B1" s="213" t="n"/>
      <c r="C1" s="213" t="n"/>
      <c r="D1" s="213" t="inlineStr">
        <is>
          <t>Приложение №7</t>
        </is>
      </c>
    </row>
    <row r="2" ht="15.75" customHeight="1" s="211">
      <c r="A2" s="213" t="n"/>
      <c r="B2" s="213" t="n"/>
      <c r="C2" s="213" t="n"/>
      <c r="D2" s="213" t="n"/>
    </row>
    <row r="3" ht="15.75" customHeight="1" s="211">
      <c r="A3" s="213" t="n"/>
      <c r="B3" s="191" t="inlineStr">
        <is>
          <t>Расчет показателя УНЦ</t>
        </is>
      </c>
      <c r="C3" s="213" t="n"/>
      <c r="D3" s="213" t="n"/>
    </row>
    <row r="4" ht="15.75" customHeight="1" s="211">
      <c r="A4" s="213" t="n"/>
      <c r="B4" s="213" t="n"/>
      <c r="C4" s="213" t="n"/>
      <c r="D4" s="213" t="n"/>
    </row>
    <row r="5" ht="15.75" customHeight="1" s="211">
      <c r="A5" s="275" t="inlineStr">
        <is>
          <t xml:space="preserve">Наименование разрабатываемого показателя УНЦ - </t>
        </is>
      </c>
      <c r="D5" s="275">
        <f>'Прил.5 Расчет СМР и ОБ'!D6:J6</f>
        <v/>
      </c>
    </row>
    <row r="6" ht="15.75" customHeight="1" s="211">
      <c r="A6" s="213" t="inlineStr">
        <is>
          <t>Единица измерения  — 1 ед</t>
        </is>
      </c>
      <c r="B6" s="213" t="n"/>
      <c r="C6" s="213" t="n"/>
      <c r="D6" s="213" t="n"/>
    </row>
    <row r="7" ht="15.75" customHeight="1" s="211">
      <c r="A7" s="213" t="n"/>
      <c r="B7" s="213" t="n"/>
      <c r="C7" s="213" t="n"/>
      <c r="D7" s="213" t="n"/>
    </row>
    <row r="8">
      <c r="A8" s="242" t="inlineStr">
        <is>
          <t>Код показателя</t>
        </is>
      </c>
      <c r="B8" s="242" t="inlineStr">
        <is>
          <t>Наименование показателя</t>
        </is>
      </c>
      <c r="C8" s="242" t="inlineStr">
        <is>
          <t>Наименование РМ, входящих в состав показателя</t>
        </is>
      </c>
      <c r="D8" s="242" t="inlineStr">
        <is>
          <t>Норматив цены на 01.01.2023, тыс.руб.</t>
        </is>
      </c>
    </row>
    <row r="9">
      <c r="A9" s="332" t="n"/>
      <c r="B9" s="332" t="n"/>
      <c r="C9" s="332" t="n"/>
      <c r="D9" s="332" t="n"/>
    </row>
    <row r="10" ht="15.75" customHeight="1" s="211">
      <c r="A10" s="242" t="n">
        <v>1</v>
      </c>
      <c r="B10" s="242" t="n">
        <v>2</v>
      </c>
      <c r="C10" s="242" t="n">
        <v>3</v>
      </c>
      <c r="D10" s="242" t="n">
        <v>4</v>
      </c>
    </row>
    <row r="11" ht="47.25" customHeight="1" s="211">
      <c r="A11" s="242" t="inlineStr">
        <is>
          <t>К4-23-2</t>
        </is>
      </c>
      <c r="B11" s="242" t="inlineStr">
        <is>
          <t xml:space="preserve">УНЦ КЛ 110 - 500 кВ с системой термомониторинга  </t>
        </is>
      </c>
      <c r="C11" s="194">
        <f>D5</f>
        <v/>
      </c>
      <c r="D11" s="219">
        <f>'Прил.4 РМ'!C41/1000</f>
        <v/>
      </c>
    </row>
    <row r="13">
      <c r="A13" s="196" t="inlineStr">
        <is>
          <t>Составил ______________________    А.Р. Маркова</t>
        </is>
      </c>
      <c r="B13" s="197" t="n"/>
      <c r="C13" s="197" t="n"/>
      <c r="D13" s="198" t="n"/>
    </row>
    <row r="14">
      <c r="A14" s="199" t="inlineStr">
        <is>
          <t xml:space="preserve">                         (подпись, инициалы, фамилия)</t>
        </is>
      </c>
      <c r="B14" s="197" t="n"/>
      <c r="C14" s="197" t="n"/>
      <c r="D14" s="198" t="n"/>
    </row>
    <row r="15">
      <c r="A15" s="196" t="n"/>
      <c r="B15" s="197" t="n"/>
      <c r="C15" s="197" t="n"/>
      <c r="D15" s="198" t="n"/>
    </row>
    <row r="16">
      <c r="A16" s="196" t="inlineStr">
        <is>
          <t>Проверил ______________________        А.В. Костянецкая</t>
        </is>
      </c>
      <c r="B16" s="197" t="n"/>
      <c r="C16" s="197" t="n"/>
      <c r="D16" s="198" t="n"/>
    </row>
    <row r="17" ht="20.25" customHeight="1" s="211">
      <c r="A17" s="199" t="inlineStr">
        <is>
          <t xml:space="preserve">                        (подпись, инициалы, фамилия)</t>
        </is>
      </c>
      <c r="B17" s="197" t="n"/>
      <c r="C17" s="197" t="n"/>
      <c r="D17" s="198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zoomScale="60" zoomScaleNormal="85" workbookViewId="0">
      <selection activeCell="C24" sqref="C24"/>
    </sheetView>
  </sheetViews>
  <sheetFormatPr baseColWidth="8" defaultColWidth="9.140625" defaultRowHeight="15"/>
  <cols>
    <col width="40.7109375" customWidth="1" style="211" min="2" max="2"/>
    <col width="37" customWidth="1" style="211" min="3" max="3"/>
    <col width="32" customWidth="1" style="211" min="4" max="4"/>
  </cols>
  <sheetData>
    <row r="4" ht="15.75" customHeight="1" s="211">
      <c r="B4" s="237" t="inlineStr">
        <is>
          <t>Приложение № 10</t>
        </is>
      </c>
    </row>
    <row r="5" ht="18.75" customHeight="1" s="211">
      <c r="B5" s="120" t="n"/>
    </row>
    <row r="6" ht="15.75" customHeight="1" s="211">
      <c r="B6" s="238" t="inlineStr">
        <is>
          <t>Используемые индексы изменений сметной стоимости и нормы сопутствующих затрат</t>
        </is>
      </c>
    </row>
    <row r="7">
      <c r="B7" s="276" t="n"/>
    </row>
    <row r="8">
      <c r="B8" s="276" t="n"/>
      <c r="C8" s="276" t="n"/>
      <c r="D8" s="276" t="n"/>
      <c r="E8" s="276" t="n"/>
    </row>
    <row r="9" ht="47.25" customHeight="1" s="211">
      <c r="B9" s="242" t="inlineStr">
        <is>
          <t>Наименование индекса / норм сопутствующих затрат</t>
        </is>
      </c>
      <c r="C9" s="242" t="inlineStr">
        <is>
          <t>Дата применения и обоснование индекса / норм сопутствующих затрат</t>
        </is>
      </c>
      <c r="D9" s="242" t="inlineStr">
        <is>
          <t>Размер индекса / норма сопутствующих затрат</t>
        </is>
      </c>
    </row>
    <row r="10" ht="15.75" customHeight="1" s="211">
      <c r="B10" s="242" t="n">
        <v>1</v>
      </c>
      <c r="C10" s="242" t="n">
        <v>2</v>
      </c>
      <c r="D10" s="242" t="n">
        <v>3</v>
      </c>
    </row>
    <row r="11" ht="45" customHeight="1" s="211">
      <c r="B11" s="242" t="inlineStr">
        <is>
          <t xml:space="preserve">Индекс изменения сметной стоимости на 1 квартал 2023 года. ОЗП </t>
        </is>
      </c>
      <c r="C11" s="242" t="inlineStr">
        <is>
          <t>Письмо Минстроя России от 30.03.2023г. №17106-ИФ/09  прил.1</t>
        </is>
      </c>
      <c r="D11" s="242" t="n">
        <v>44.29</v>
      </c>
    </row>
    <row r="12" ht="29.25" customHeight="1" s="211">
      <c r="B12" s="242" t="inlineStr">
        <is>
          <t>Индекс изменения сметной стоимости на 1 квартал 2023 года. ЭМ</t>
        </is>
      </c>
      <c r="C12" s="242" t="inlineStr">
        <is>
          <t>Письмо Минстроя России от 30.03.2023г. №17106-ИФ/09  прил.1</t>
        </is>
      </c>
      <c r="D12" s="242" t="n">
        <v>10.77</v>
      </c>
    </row>
    <row r="13" ht="29.25" customHeight="1" s="211">
      <c r="B13" s="242" t="inlineStr">
        <is>
          <t>Индекс изменения сметной стоимости на 1 квартал 2023 года. МАТ</t>
        </is>
      </c>
      <c r="C13" s="242" t="inlineStr">
        <is>
          <t>Письмо Минстроя России от 30.03.2023г. №17106-ИФ/09  прил.1</t>
        </is>
      </c>
      <c r="D13" s="242" t="n">
        <v>4.39</v>
      </c>
    </row>
    <row r="14" ht="30.75" customHeight="1" s="211">
      <c r="B14" s="242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42" t="n">
        <v>6.26</v>
      </c>
    </row>
    <row r="15" ht="89.25" customHeight="1" s="211">
      <c r="B15" s="242" t="inlineStr">
        <is>
          <t>Временные здания и сооружения</t>
        </is>
      </c>
      <c r="C15" s="242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2" t="n">
        <v>0.039</v>
      </c>
    </row>
    <row r="16" ht="78.75" customHeight="1" s="211">
      <c r="B16" s="242" t="inlineStr">
        <is>
          <t>Дополнительные затраты при производстве строительно-монтажных работ в зимнее время</t>
        </is>
      </c>
      <c r="C16" s="24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2" t="n">
        <v>0.021</v>
      </c>
    </row>
    <row r="17" ht="31.5" customHeight="1" s="211">
      <c r="B17" s="242" t="inlineStr">
        <is>
          <t>Строительный контроль</t>
        </is>
      </c>
      <c r="C17" s="242" t="inlineStr">
        <is>
          <t>Постановление Правительства РФ от 21.06.10 г. № 468</t>
        </is>
      </c>
      <c r="D17" s="122" t="n">
        <v>0.0214</v>
      </c>
    </row>
    <row r="18" ht="31.5" customHeight="1" s="211">
      <c r="B18" s="242" t="inlineStr">
        <is>
          <t>Авторский надзор - 0,2%</t>
        </is>
      </c>
      <c r="C18" s="242" t="inlineStr">
        <is>
          <t>Приказ от 4.08.2020 № 421/пр п.173</t>
        </is>
      </c>
      <c r="D18" s="122" t="n">
        <v>0.002</v>
      </c>
    </row>
    <row r="19" ht="24" customHeight="1" s="211">
      <c r="B19" s="242" t="inlineStr">
        <is>
          <t>Непредвиденные расходы</t>
        </is>
      </c>
      <c r="C19" s="242" t="inlineStr">
        <is>
          <t>Приказ от 4.08.2020 № 421/пр п.179</t>
        </is>
      </c>
      <c r="D19" s="122" t="n">
        <v>0.03</v>
      </c>
    </row>
    <row r="20" ht="18.75" customHeight="1" s="211">
      <c r="B20" s="121" t="n"/>
    </row>
    <row r="21" ht="18.75" customHeight="1" s="211">
      <c r="B21" s="121" t="n"/>
    </row>
    <row r="22" ht="18.75" customHeight="1" s="211">
      <c r="B22" s="121" t="n"/>
    </row>
    <row r="23" ht="18.75" customHeight="1" s="211">
      <c r="B23" s="121" t="n"/>
    </row>
    <row r="26">
      <c r="B26" s="328" t="inlineStr">
        <is>
          <t>Составил ______________________        А.Р. Маркова</t>
        </is>
      </c>
      <c r="C26" s="197" t="n"/>
    </row>
    <row r="27">
      <c r="B27" s="199" t="inlineStr">
        <is>
          <t xml:space="preserve">                         (подпись, инициалы, фамилия)</t>
        </is>
      </c>
      <c r="C27" s="197" t="n"/>
    </row>
    <row r="28">
      <c r="B28" s="196" t="n"/>
      <c r="C28" s="197" t="n"/>
    </row>
    <row r="29">
      <c r="B29" s="196" t="inlineStr">
        <is>
          <t>Проверил ______________________        А.В. Костянецкая</t>
        </is>
      </c>
      <c r="C29" s="197" t="n"/>
    </row>
    <row r="30">
      <c r="B30" s="199" t="inlineStr">
        <is>
          <t xml:space="preserve">                        (подпись, инициалы, фамилия)</t>
        </is>
      </c>
      <c r="C30" s="19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tabSelected="1" view="pageBreakPreview" zoomScale="60" zoomScaleNormal="100" workbookViewId="0">
      <selection activeCell="F16" sqref="F16"/>
    </sheetView>
  </sheetViews>
  <sheetFormatPr baseColWidth="8" defaultColWidth="9.140625" defaultRowHeight="15"/>
  <cols>
    <col width="44.85546875" customWidth="1" style="211" min="2" max="2"/>
    <col width="13" customWidth="1" style="211" min="3" max="3"/>
    <col width="22.85546875" customWidth="1" style="211" min="4" max="4"/>
    <col width="21.5703125" customWidth="1" style="211" min="5" max="5"/>
    <col width="53.7109375" bestFit="1" customWidth="1" style="211" min="6" max="6"/>
  </cols>
  <sheetData>
    <row r="1" s="211"/>
    <row r="2" ht="17.25" customHeight="1" s="211">
      <c r="A2" s="238" t="inlineStr">
        <is>
          <t>Расчет размера средств на оплату труда рабочих-строителей в текущем уровне цен (ФОТр.тек.)</t>
        </is>
      </c>
    </row>
    <row r="3" s="211"/>
    <row r="4" ht="18" customHeight="1" s="211">
      <c r="A4" s="212" t="inlineStr">
        <is>
          <t>Составлен в уровне цен на 01.01.2023 г.</t>
        </is>
      </c>
      <c r="B4" s="213" t="n"/>
      <c r="C4" s="213" t="n"/>
      <c r="D4" s="213" t="n"/>
      <c r="E4" s="213" t="n"/>
      <c r="F4" s="213" t="n"/>
      <c r="G4" s="213" t="n"/>
    </row>
    <row r="5" ht="15.75" customHeight="1" s="211">
      <c r="A5" s="214" t="inlineStr">
        <is>
          <t>№ пп.</t>
        </is>
      </c>
      <c r="B5" s="214" t="inlineStr">
        <is>
          <t>Наименование элемента</t>
        </is>
      </c>
      <c r="C5" s="214" t="inlineStr">
        <is>
          <t>Обозначение</t>
        </is>
      </c>
      <c r="D5" s="214" t="inlineStr">
        <is>
          <t>Формула</t>
        </is>
      </c>
      <c r="E5" s="214" t="inlineStr">
        <is>
          <t>Величина элемента</t>
        </is>
      </c>
      <c r="F5" s="214" t="inlineStr">
        <is>
          <t>Наименования обосновывающих документов</t>
        </is>
      </c>
      <c r="G5" s="213" t="n"/>
    </row>
    <row r="6" ht="15.75" customHeight="1" s="211">
      <c r="A6" s="214" t="n">
        <v>1</v>
      </c>
      <c r="B6" s="214" t="n">
        <v>2</v>
      </c>
      <c r="C6" s="214" t="n">
        <v>3</v>
      </c>
      <c r="D6" s="214" t="n">
        <v>4</v>
      </c>
      <c r="E6" s="214" t="n">
        <v>5</v>
      </c>
      <c r="F6" s="214" t="n">
        <v>6</v>
      </c>
      <c r="G6" s="213" t="n"/>
    </row>
    <row r="7" ht="110.25" customHeight="1" s="211">
      <c r="A7" s="215" t="inlineStr">
        <is>
          <t>1.1</t>
        </is>
      </c>
      <c r="B7" s="22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2" t="inlineStr">
        <is>
          <t>С1ср</t>
        </is>
      </c>
      <c r="D7" s="242" t="inlineStr">
        <is>
          <t>-</t>
        </is>
      </c>
      <c r="E7" s="218" t="n">
        <v>47872.94</v>
      </c>
      <c r="F7" s="22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3" t="n"/>
    </row>
    <row r="8" ht="31.5" customHeight="1" s="211">
      <c r="A8" s="215" t="inlineStr">
        <is>
          <t>1.2</t>
        </is>
      </c>
      <c r="B8" s="220" t="inlineStr">
        <is>
          <t>Среднегодовое нормативное число часов работы одного рабочего в месяц, часы (ч.)</t>
        </is>
      </c>
      <c r="C8" s="242" t="inlineStr">
        <is>
          <t>tср</t>
        </is>
      </c>
      <c r="D8" s="242" t="inlineStr">
        <is>
          <t>1973ч/12мес.</t>
        </is>
      </c>
      <c r="E8" s="219">
        <f>1973/12</f>
        <v/>
      </c>
      <c r="F8" s="220" t="inlineStr">
        <is>
          <t>Производственный календарь 2023 год
(40-часов.неделя)</t>
        </is>
      </c>
      <c r="G8" s="222" t="n"/>
    </row>
    <row r="9" ht="15.75" customHeight="1" s="211">
      <c r="A9" s="215" t="inlineStr">
        <is>
          <t>1.3</t>
        </is>
      </c>
      <c r="B9" s="220" t="inlineStr">
        <is>
          <t>Коэффициент увеличения</t>
        </is>
      </c>
      <c r="C9" s="242" t="inlineStr">
        <is>
          <t>Кув</t>
        </is>
      </c>
      <c r="D9" s="242" t="inlineStr">
        <is>
          <t>-</t>
        </is>
      </c>
      <c r="E9" s="219" t="n">
        <v>1</v>
      </c>
      <c r="F9" s="220" t="n"/>
      <c r="G9" s="222" t="n"/>
    </row>
    <row r="10" ht="15.75" customHeight="1" s="211">
      <c r="A10" s="215" t="inlineStr">
        <is>
          <t>1.4</t>
        </is>
      </c>
      <c r="B10" s="220" t="inlineStr">
        <is>
          <t>Средний разряд работ</t>
        </is>
      </c>
      <c r="C10" s="242" t="n"/>
      <c r="D10" s="242" t="n"/>
      <c r="E10" s="342" t="n">
        <v>4</v>
      </c>
      <c r="F10" s="220" t="inlineStr">
        <is>
          <t>РТМ</t>
        </is>
      </c>
      <c r="G10" s="222" t="n"/>
    </row>
    <row r="11" ht="78.75" customHeight="1" s="211">
      <c r="A11" s="215" t="inlineStr">
        <is>
          <t>1.5</t>
        </is>
      </c>
      <c r="B11" s="220" t="inlineStr">
        <is>
          <t>Тарифный коэффициент среднего разряда работ</t>
        </is>
      </c>
      <c r="C11" s="242" t="inlineStr">
        <is>
          <t>КТ</t>
        </is>
      </c>
      <c r="D11" s="242" t="inlineStr">
        <is>
          <t>-</t>
        </is>
      </c>
      <c r="E11" s="343" t="n">
        <v>1.34</v>
      </c>
      <c r="F11" s="22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3" t="n"/>
    </row>
    <row r="12" ht="78.75" customHeight="1" s="211">
      <c r="A12" s="225" t="inlineStr">
        <is>
          <t>1.6</t>
        </is>
      </c>
      <c r="B12" s="320" t="inlineStr">
        <is>
          <t>Коэффициент инфляции, определяемый поквартально</t>
        </is>
      </c>
      <c r="C12" s="226" t="inlineStr">
        <is>
          <t>Кинф</t>
        </is>
      </c>
      <c r="D12" s="226" t="inlineStr">
        <is>
          <t>-</t>
        </is>
      </c>
      <c r="E12" s="344" t="n">
        <v>1.139</v>
      </c>
      <c r="F12" s="32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22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11">
      <c r="A13" s="323" t="inlineStr">
        <is>
          <t>1.7</t>
        </is>
      </c>
      <c r="B13" s="324" t="inlineStr">
        <is>
          <t>Размер средств на оплату труда рабочих-строителей в текущем уровне цен (ФОТр.тек.), руб/чел.-ч</t>
        </is>
      </c>
      <c r="C13" s="325" t="inlineStr">
        <is>
          <t>ФОТр.тек.</t>
        </is>
      </c>
      <c r="D13" s="325" t="inlineStr">
        <is>
          <t>(С1ср/tср*КТ*Т*Кув)*Кинф</t>
        </is>
      </c>
      <c r="E13" s="326">
        <f>((E7*E9/E8)*E11)*E12</f>
        <v/>
      </c>
      <c r="F13" s="32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3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2025-01-24T12:09:25Z</dcterms:modified>
  <cp:lastModifiedBy>User4</cp:lastModifiedBy>
  <cp:lastPrinted>2023-11-29T10:15:00Z</cp:lastPrinted>
</cp:coreProperties>
</file>