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03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IntlFixup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Fill">#REF!</definedName>
    <definedName name="_xlnm._FilterDatabase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AS2DocOpenMode">"AS2DocumentEdit"</definedName>
    <definedName name="BLPH1">#REF!</definedName>
    <definedName name="BLPH2">#REF!</definedName>
    <definedName name="ehc">#REF!</definedName>
    <definedName name="hfcxtn">#REF!</definedName>
    <definedName name="kОборудование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>{#N/A,#N/A,FALSE,"Aging Summary";#N/A,#N/A,FALSE,"Ratio Analysis";#N/A,#N/A,FALSE,"Test 120 Day Accts";#N/A,#N/A,FALSE,"Tickmarks"}</definedName>
    <definedName name="корр">{#N/A,#N/A,FALSE,"Шаблон_Спец1"}</definedName>
    <definedName name="С">{#N/A,#N/A,FALSE,"Шаблон_Спец1"}</definedName>
    <definedName name="урс123">#REF!</definedName>
    <definedName name="_xlnm.Print_Area" localSheetId="1">'Прил.2 Расч стоим'!$A$1:$J$24</definedName>
    <definedName name="_xlnm.Print_Titles" localSheetId="2">'Прил.3'!$9:$11</definedName>
    <definedName name="_xlnm.Print_Area" localSheetId="2">'Прил.3'!$A$1:$H$47</definedName>
    <definedName name="_xlnm.Print_Titles" localSheetId="4">'Прил.5 Расчет СМР и ОБ'!$9:$11</definedName>
    <definedName name="_xlnm.Print_Area" localSheetId="4">'Прил.5 Расчет СМР и ОБ'!$A$1:$J$64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_-* #,##0.00\ _₽_-;\-* #,##0.00\ _₽_-;_-* &quot;-&quot;??\ _₽_-;_-@_-"/>
    <numFmt numFmtId="166" formatCode="#,##0.0"/>
    <numFmt numFmtId="167" formatCode="#,##0.000"/>
    <numFmt numFmtId="168" formatCode="0.0000"/>
    <numFmt numFmtId="169" formatCode="#,##0.0000"/>
  </numFmts>
  <fonts count="14">
    <font>
      <name val="Calibri"/>
      <color rgb="FF000000"/>
      <sz val="11"/>
    </font>
    <font>
      <name val="Calibri"/>
      <color rgb="FFFF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Times New Roman"/>
      <color rgb="FF0000FF"/>
      <sz val="12"/>
      <u val="single"/>
    </font>
    <font>
      <name val="Times New Roman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1">
    <xf numFmtId="0" fontId="0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0" fontId="3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horizontal="left" vertical="center"/>
    </xf>
    <xf numFmtId="0" fontId="5" fillId="0" borderId="0" pivotButton="0" quotePrefix="0" xfId="0"/>
    <xf numFmtId="0" fontId="5" fillId="0" borderId="1" applyAlignment="1" pivotButton="0" quotePrefix="0" xfId="0">
      <alignment vertical="top"/>
    </xf>
    <xf numFmtId="4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4" fontId="3" fillId="0" borderId="1" applyAlignment="1" pivotButton="0" quotePrefix="0" xfId="0">
      <alignment horizontal="right" vertical="top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right" vertical="top" wrapText="1"/>
    </xf>
    <xf numFmtId="0" fontId="3" fillId="0" borderId="0" applyAlignment="1" pivotButton="0" quotePrefix="0" xfId="0">
      <alignment horizontal="right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4" fontId="3" fillId="0" borderId="1" applyAlignment="1" pivotButton="0" quotePrefix="0" xfId="0">
      <alignment horizontal="right" vertical="top" wrapText="1"/>
    </xf>
    <xf numFmtId="0" fontId="5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right" vertical="top" wrapText="1"/>
    </xf>
    <xf numFmtId="0" fontId="2" fillId="0" borderId="0" applyAlignment="1" pivotButton="0" quotePrefix="0" xfId="0">
      <alignment horizontal="right" vertical="center"/>
    </xf>
    <xf numFmtId="10" fontId="3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3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vertical="center"/>
    </xf>
    <xf numFmtId="10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horizontal="right" vertical="center"/>
    </xf>
    <xf numFmtId="4" fontId="3" fillId="0" borderId="1" applyAlignment="1" pivotButton="0" quotePrefix="0" xfId="0">
      <alignment horizontal="right" vertical="center"/>
    </xf>
    <xf numFmtId="0" fontId="3" fillId="0" borderId="2" applyAlignment="1" pivotButton="0" quotePrefix="0" xfId="0">
      <alignment vertical="center" wrapText="1"/>
    </xf>
    <xf numFmtId="4" fontId="3" fillId="0" borderId="2" applyAlignment="1" pivotButton="0" quotePrefix="0" xfId="0">
      <alignment horizontal="right" vertical="center"/>
    </xf>
    <xf numFmtId="10" fontId="3" fillId="0" borderId="2" applyAlignment="1" pivotButton="0" quotePrefix="0" xfId="0">
      <alignment vertical="center" wrapText="1"/>
    </xf>
    <xf numFmtId="10" fontId="3" fillId="0" borderId="2" applyAlignment="1" pivotButton="0" quotePrefix="0" xfId="0">
      <alignment vertical="center"/>
    </xf>
    <xf numFmtId="4" fontId="3" fillId="0" borderId="0" pivotButton="0" quotePrefix="0" xfId="0"/>
    <xf numFmtId="0" fontId="3" fillId="0" borderId="1" pivotButton="0" quotePrefix="0" xfId="0"/>
    <xf numFmtId="10" fontId="3" fillId="0" borderId="1" pivotButton="0" quotePrefix="0" xfId="0"/>
    <xf numFmtId="0" fontId="3" fillId="0" borderId="3" applyAlignment="1" pivotButton="0" quotePrefix="0" xfId="0">
      <alignment vertical="center" wrapText="1"/>
    </xf>
    <xf numFmtId="4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/>
    </xf>
    <xf numFmtId="0" fontId="6" fillId="0" borderId="0" pivotButton="0" quotePrefix="0" xfId="0"/>
    <xf numFmtId="0" fontId="7" fillId="0" borderId="0" pivotButton="0" quotePrefix="0" xfId="0"/>
    <xf numFmtId="0" fontId="0" fillId="0" borderId="0" pivotButton="0" quotePrefix="0" xfId="0"/>
    <xf numFmtId="0" fontId="3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wrapText="1"/>
    </xf>
    <xf numFmtId="0" fontId="4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pivotButton="0" quotePrefix="0" xfId="0"/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4" fontId="3" fillId="0" borderId="1" applyAlignment="1" pivotButton="0" quotePrefix="0" xfId="0">
      <alignment vertical="top"/>
    </xf>
    <xf numFmtId="164" fontId="3" fillId="0" borderId="1" applyAlignment="1" pivotButton="0" quotePrefix="0" xfId="0">
      <alignment vertical="top"/>
    </xf>
    <xf numFmtId="49" fontId="3" fillId="0" borderId="1" applyAlignment="1" pivotButton="0" quotePrefix="0" xfId="0">
      <alignment horizontal="left" vertical="top" wrapText="1"/>
    </xf>
    <xf numFmtId="4" fontId="3" fillId="0" borderId="1" applyAlignment="1" pivotButton="0" quotePrefix="0" xfId="0">
      <alignment horizontal="right" vertical="top"/>
    </xf>
    <xf numFmtId="0" fontId="3" fillId="0" borderId="1" pivotButton="0" quotePrefix="0" xfId="0"/>
    <xf numFmtId="4" fontId="3" fillId="0" borderId="1" pivotButton="0" quotePrefix="0" xfId="0"/>
    <xf numFmtId="164" fontId="3" fillId="0" borderId="1" pivotButton="0" quotePrefix="0" xfId="0"/>
    <xf numFmtId="0" fontId="3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4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1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vertical="top"/>
    </xf>
    <xf numFmtId="9" fontId="3" fillId="0" borderId="1" applyAlignment="1" pivotButton="0" quotePrefix="0" xfId="0">
      <alignment horizontal="center" vertical="top" wrapText="1"/>
    </xf>
    <xf numFmtId="4" fontId="3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3" fillId="0" borderId="0" pivotButton="0" quotePrefix="0" xfId="0"/>
    <xf numFmtId="4" fontId="3" fillId="0" borderId="0" applyAlignment="1" pivotButton="0" quotePrefix="0" xfId="0">
      <alignment vertical="center"/>
    </xf>
    <xf numFmtId="4" fontId="3" fillId="0" borderId="0" applyAlignment="1" pivotButton="0" quotePrefix="0" xfId="0">
      <alignment horizontal="center" vertical="center"/>
    </xf>
    <xf numFmtId="0" fontId="6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top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0" fontId="3" fillId="0" borderId="1" applyAlignment="1" pivotButton="0" quotePrefix="0" xfId="0">
      <alignment horizontal="left" vertical="center" wrapText="1"/>
    </xf>
    <xf numFmtId="49" fontId="3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0" fillId="0" borderId="0" pivotButton="0" quotePrefix="0" xfId="0"/>
    <xf numFmtId="0" fontId="9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3" fillId="0" borderId="1" applyAlignment="1" pivotButton="0" quotePrefix="0" xfId="0">
      <alignment vertical="top" wrapText="1"/>
    </xf>
    <xf numFmtId="49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vertical="top"/>
    </xf>
    <xf numFmtId="4" fontId="3" fillId="0" borderId="1" applyAlignment="1" pivotButton="0" quotePrefix="0" xfId="0">
      <alignment vertical="top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horizontal="center" vertical="center" wrapText="1"/>
    </xf>
    <xf numFmtId="14" fontId="3" fillId="0" borderId="1" applyAlignment="1" pivotButton="0" quotePrefix="0" xfId="0">
      <alignment horizontal="center" vertical="center" wrapText="1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49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3" fontId="3" fillId="0" borderId="1" applyAlignment="1" pivotButton="0" quotePrefix="0" xfId="0">
      <alignment vertical="center" wrapText="1"/>
    </xf>
    <xf numFmtId="165" fontId="3" fillId="0" borderId="0" pivotButton="0" quotePrefix="0" xfId="0"/>
    <xf numFmtId="43" fontId="5" fillId="0" borderId="3" applyAlignment="1" pivotButton="0" quotePrefix="0" xfId="0">
      <alignment vertical="center" wrapText="1"/>
    </xf>
    <xf numFmtId="43" fontId="5" fillId="0" borderId="1" applyAlignment="1" pivotButton="0" quotePrefix="0" xfId="0">
      <alignment vertical="center" wrapText="1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6" fontId="3" fillId="0" borderId="1" applyAlignment="1" pivotButton="0" quotePrefix="0" xfId="0">
      <alignment horizontal="center" vertical="center"/>
    </xf>
    <xf numFmtId="167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168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wrapText="1"/>
    </xf>
    <xf numFmtId="49" fontId="3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vertical="center" wrapText="1"/>
    </xf>
    <xf numFmtId="0" fontId="3" fillId="0" borderId="2" applyAlignment="1" pivotButton="0" quotePrefix="0" xfId="0">
      <alignment horizontal="center" vertical="center" wrapText="1"/>
    </xf>
    <xf numFmtId="4" fontId="5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left" vertical="center" wrapText="1"/>
    </xf>
    <xf numFmtId="4" fontId="3" fillId="0" borderId="1" applyAlignment="1" pivotButton="0" quotePrefix="0" xfId="0">
      <alignment vertical="top"/>
    </xf>
    <xf numFmtId="0" fontId="3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horizontal="right" vertical="center"/>
    </xf>
    <xf numFmtId="0" fontId="1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0" fontId="3" fillId="0" borderId="0" applyAlignment="1" pivotButton="0" quotePrefix="0" xfId="0">
      <alignment horizontal="right"/>
    </xf>
    <xf numFmtId="4" fontId="3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vertical="center" wrapText="1"/>
    </xf>
    <xf numFmtId="0" fontId="5" fillId="0" borderId="1" pivotButton="0" quotePrefix="0" xfId="0"/>
    <xf numFmtId="0" fontId="3" fillId="0" borderId="1" applyAlignment="1" pivotButton="0" quotePrefix="0" xfId="0">
      <alignment wrapText="1"/>
    </xf>
    <xf numFmtId="0" fontId="3" fillId="0" borderId="1" pivotButton="0" quotePrefix="0" xfId="0"/>
    <xf numFmtId="169" fontId="3" fillId="0" borderId="1" pivotButton="0" quotePrefix="0" xfId="0"/>
    <xf numFmtId="49" fontId="3" fillId="0" borderId="1" applyAlignment="1" pivotButton="0" quotePrefix="0" xfId="0">
      <alignment horizontal="left" vertical="top" wrapText="1"/>
    </xf>
    <xf numFmtId="4" fontId="5" fillId="0" borderId="1" pivotButton="0" quotePrefix="0" xfId="0"/>
    <xf numFmtId="4" fontId="3" fillId="0" borderId="1" pivotButton="0" quotePrefix="0" xfId="0"/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3" pivotButton="0" quotePrefix="0" xfId="0"/>
    <xf numFmtId="43" fontId="3" fillId="0" borderId="1" applyAlignment="1" pivotButton="0" quotePrefix="0" xfId="0">
      <alignment vertical="center" wrapText="1"/>
    </xf>
    <xf numFmtId="165" fontId="3" fillId="0" borderId="0" pivotButton="0" quotePrefix="0" xfId="0"/>
    <xf numFmtId="43" fontId="5" fillId="0" borderId="3" applyAlignment="1" pivotButton="0" quotePrefix="0" xfId="0">
      <alignment vertical="center" wrapText="1"/>
    </xf>
    <xf numFmtId="43" fontId="5" fillId="0" borderId="1" applyAlignment="1" pivotButton="0" quotePrefix="0" xfId="0">
      <alignment vertical="center" wrapText="1"/>
    </xf>
  </cellXfs>
  <cellStyles count="1">
    <cellStyle name="Обычный" xfId="0" builtinId="0"/>
  </cellStyles>
  <dxfs count="5"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L34"/>
  <sheetViews>
    <sheetView view="pageBreakPreview" topLeftCell="A6" zoomScale="70" zoomScaleNormal="70" workbookViewId="0">
      <selection activeCell="D36" sqref="D36"/>
    </sheetView>
  </sheetViews>
  <sheetFormatPr baseColWidth="8" defaultColWidth="9.140625" defaultRowHeight="15"/>
  <cols>
    <col width="9.140625" customWidth="1" style="139" min="1" max="2"/>
    <col width="36.85546875" customWidth="1" style="139" min="3" max="3"/>
    <col width="39.42578125" customWidth="1" style="139" min="4" max="4"/>
    <col width="9.140625" customWidth="1" style="139" min="5" max="5"/>
  </cols>
  <sheetData>
    <row r="3" ht="15.6" customHeight="1" s="139">
      <c r="B3" s="163" t="inlineStr">
        <is>
          <t>Приложение № 1</t>
        </is>
      </c>
    </row>
    <row r="4" ht="17.45" customHeight="1" s="139">
      <c r="B4" s="164" t="inlineStr">
        <is>
          <t>Сравнительная таблица отбора объекта-представителя</t>
        </is>
      </c>
    </row>
    <row r="5" ht="94.7" customFormat="1" customHeight="1" s="94">
      <c r="B5" s="16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139">
      <c r="B6" s="95" t="n"/>
      <c r="C6" s="95" t="n"/>
      <c r="D6" s="95" t="n"/>
    </row>
    <row r="7" ht="36" customHeight="1" s="139">
      <c r="B7" s="162" t="inlineStr">
        <is>
          <t>Наименование разрабатываемого показателя УНЦ —   Токопровод с литой изоляцией 35 кВ, 630 А</t>
        </is>
      </c>
    </row>
    <row r="8" ht="15.75" customHeight="1" s="139">
      <c r="B8" s="162" t="inlineStr">
        <is>
          <t>Сопоставимый уровень цен: 01.01.2000</t>
        </is>
      </c>
    </row>
    <row r="9" ht="15.6" customHeight="1" s="139">
      <c r="B9" s="162" t="inlineStr">
        <is>
          <t>Единица измерения  — 1 м</t>
        </is>
      </c>
    </row>
    <row r="10" ht="18" customHeight="1" s="139">
      <c r="B10" s="96" t="n"/>
    </row>
    <row r="11" ht="15.6" customHeight="1" s="139">
      <c r="B11" s="168" t="inlineStr">
        <is>
          <t>№ п/п</t>
        </is>
      </c>
      <c r="C11" s="168" t="inlineStr">
        <is>
          <t>Параметр</t>
        </is>
      </c>
      <c r="D11" s="168" t="inlineStr">
        <is>
          <t xml:space="preserve">Объект-представитель </t>
        </is>
      </c>
    </row>
    <row r="12" ht="46.9" customHeight="1" s="139">
      <c r="B12" s="168" t="n">
        <v>1</v>
      </c>
      <c r="C12" s="177" t="inlineStr">
        <is>
          <t>Наименование объекта-представителя</t>
        </is>
      </c>
      <c r="D12" s="168" t="inlineStr">
        <is>
          <t>Комплексная реконструкция и техническое перевооружение ПС №20 Чесменская СПб</t>
        </is>
      </c>
      <c r="E12" s="100" t="n"/>
      <c r="F12" s="100" t="n"/>
      <c r="G12" s="100" t="n"/>
      <c r="H12" s="100" t="n"/>
      <c r="I12" s="100" t="n"/>
      <c r="J12" s="100" t="n"/>
      <c r="K12" s="100" t="n"/>
      <c r="L12" s="100" t="n"/>
    </row>
    <row r="13" ht="31.15" customHeight="1" s="139">
      <c r="B13" s="168" t="n">
        <v>2</v>
      </c>
      <c r="C13" s="177" t="inlineStr">
        <is>
          <t>Наименование субъекта Российской Федерации</t>
        </is>
      </c>
      <c r="D13" s="168" t="inlineStr">
        <is>
          <t>Ленинградская область</t>
        </is>
      </c>
    </row>
    <row r="14" ht="15.6" customHeight="1" s="139">
      <c r="B14" s="168" t="n">
        <v>3</v>
      </c>
      <c r="C14" s="177" t="inlineStr">
        <is>
          <t>Климатический район и подрайон</t>
        </is>
      </c>
      <c r="D14" s="168" t="inlineStr">
        <is>
          <t>IIВ</t>
        </is>
      </c>
    </row>
    <row r="15" ht="15.6" customHeight="1" s="139">
      <c r="B15" s="168" t="n">
        <v>4</v>
      </c>
      <c r="C15" s="177" t="inlineStr">
        <is>
          <t>Мощность объекта</t>
        </is>
      </c>
      <c r="D15" s="168" t="n">
        <v>250</v>
      </c>
    </row>
    <row r="16" ht="93.59999999999999" customHeight="1" s="139">
      <c r="B16" s="168" t="n">
        <v>5</v>
      </c>
      <c r="C16" s="10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8" t="inlineStr">
        <is>
          <t>Малогабаритный трехфазный литой токопровод 35 кВ, Iн= 630 А  - 250 м</t>
        </is>
      </c>
    </row>
    <row r="17" ht="78" customHeight="1" s="139">
      <c r="B17" s="168" t="n">
        <v>6</v>
      </c>
      <c r="C17" s="10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3">
        <f>SUM(D18:D21)</f>
        <v/>
      </c>
    </row>
    <row r="18" ht="15.6" customHeight="1" s="139">
      <c r="B18" s="133" t="inlineStr">
        <is>
          <t>6.1</t>
        </is>
      </c>
      <c r="C18" s="177" t="inlineStr">
        <is>
          <t>строительно-монтажные работы</t>
        </is>
      </c>
      <c r="D18" s="123">
        <f>'Прил.2 Расч стоим'!G14</f>
        <v/>
      </c>
    </row>
    <row r="19" ht="15.6" customHeight="1" s="139">
      <c r="B19" s="133" t="inlineStr">
        <is>
          <t>6.2</t>
        </is>
      </c>
      <c r="C19" s="177" t="inlineStr">
        <is>
          <t>оборудование и инвентарь</t>
        </is>
      </c>
      <c r="D19" s="123" t="n"/>
    </row>
    <row r="20" ht="15.6" customHeight="1" s="139">
      <c r="B20" s="133" t="inlineStr">
        <is>
          <t>6.3</t>
        </is>
      </c>
      <c r="C20" s="177" t="inlineStr">
        <is>
          <t>пусконаладочные работы</t>
        </is>
      </c>
      <c r="D20" s="123" t="n"/>
    </row>
    <row r="21" ht="15.6" customHeight="1" s="139">
      <c r="B21" s="133" t="inlineStr">
        <is>
          <t>6.4</t>
        </is>
      </c>
      <c r="C21" s="177" t="inlineStr">
        <is>
          <t>прочие и лимитированные затраты</t>
        </is>
      </c>
      <c r="D21" s="123" t="n"/>
    </row>
    <row r="22" ht="15.6" customHeight="1" s="139">
      <c r="B22" s="168" t="n">
        <v>7</v>
      </c>
      <c r="C22" s="177" t="inlineStr">
        <is>
          <t>Сопоставимый уровень цен</t>
        </is>
      </c>
      <c r="D22" s="124" t="n">
        <v>36526</v>
      </c>
    </row>
    <row r="23" ht="109.15" customHeight="1" s="139">
      <c r="B23" s="168" t="n">
        <v>8</v>
      </c>
      <c r="C23" s="10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3">
        <f>D17</f>
        <v/>
      </c>
    </row>
    <row r="24" ht="46.9" customHeight="1" s="139">
      <c r="B24" s="168" t="n">
        <v>9</v>
      </c>
      <c r="C24" s="102" t="inlineStr">
        <is>
          <t>Приведенная сметная стоимость на единицу мощности, тыс. руб. (строка 8/строку 4)</t>
        </is>
      </c>
      <c r="D24" s="123">
        <f>D23/D15</f>
        <v/>
      </c>
    </row>
    <row r="25" ht="15.6" customHeight="1" s="139">
      <c r="A25" s="141" t="n"/>
      <c r="B25" s="168" t="n">
        <v>10</v>
      </c>
      <c r="C25" s="177" t="inlineStr">
        <is>
          <t>Примечание</t>
        </is>
      </c>
      <c r="D25" s="168" t="n"/>
      <c r="E25" s="141" t="n"/>
      <c r="F25" s="141" t="n"/>
    </row>
    <row r="26" ht="15.6" customHeight="1" s="139">
      <c r="A26" s="141" t="n"/>
      <c r="B26" s="129" t="n"/>
      <c r="C26" s="130" t="n"/>
      <c r="D26" s="130" t="n"/>
      <c r="E26" s="141" t="n"/>
      <c r="F26" s="141" t="n"/>
    </row>
    <row r="27" ht="37.5" customHeight="1" s="139">
      <c r="A27" s="141" t="n"/>
      <c r="B27" s="141" t="n"/>
      <c r="C27" s="141" t="n"/>
      <c r="D27" s="141" t="n"/>
      <c r="E27" s="141" t="n"/>
      <c r="F27" s="141" t="n"/>
    </row>
    <row r="28" ht="15.6" customHeight="1" s="139">
      <c r="A28" s="141" t="n"/>
      <c r="B28" s="141" t="inlineStr">
        <is>
          <t>Составил ______________________        М.С. Колотиевская</t>
        </is>
      </c>
      <c r="C28" s="141" t="n"/>
      <c r="D28" s="141" t="n"/>
      <c r="E28" s="141" t="n"/>
      <c r="F28" s="141" t="n"/>
    </row>
    <row r="29" ht="15.6" customHeight="1" s="139">
      <c r="A29" s="141" t="n"/>
      <c r="B29" s="131" t="inlineStr">
        <is>
          <t xml:space="preserve">                         (подпись, инициалы, фамилия)</t>
        </is>
      </c>
      <c r="C29" s="141" t="n"/>
      <c r="D29" s="141" t="n"/>
      <c r="E29" s="141" t="n"/>
      <c r="F29" s="141" t="n"/>
    </row>
    <row r="30" ht="15.6" customHeight="1" s="139">
      <c r="A30" s="141" t="n"/>
      <c r="B30" s="141" t="n"/>
      <c r="C30" s="141" t="n"/>
      <c r="D30" s="141" t="n"/>
      <c r="E30" s="141" t="n"/>
      <c r="F30" s="141" t="n"/>
    </row>
    <row r="31" ht="15.6" customHeight="1" s="139">
      <c r="A31" s="141" t="n"/>
      <c r="B31" s="141" t="inlineStr">
        <is>
          <t>Проверил ______________________      А.В. Костянецкая</t>
        </is>
      </c>
      <c r="C31" s="141" t="n"/>
      <c r="D31" s="141" t="n"/>
      <c r="E31" s="141" t="n"/>
      <c r="F31" s="141" t="n"/>
    </row>
    <row r="32" ht="15.6" customHeight="1" s="139">
      <c r="A32" s="141" t="n"/>
      <c r="B32" s="131" t="inlineStr">
        <is>
          <t xml:space="preserve">                        (подпись, инициалы, фамилия)</t>
        </is>
      </c>
      <c r="C32" s="141" t="n"/>
      <c r="D32" s="141" t="n"/>
      <c r="E32" s="141" t="n"/>
      <c r="F32" s="141" t="n"/>
    </row>
    <row r="33" ht="15.6" customHeight="1" s="139">
      <c r="A33" s="141" t="n"/>
      <c r="B33" s="141" t="n"/>
      <c r="C33" s="141" t="n"/>
      <c r="D33" s="141" t="n"/>
      <c r="E33" s="141" t="n"/>
      <c r="F33" s="141" t="n"/>
    </row>
    <row r="34" ht="15.6" customHeight="1" s="139">
      <c r="A34" s="141" t="n"/>
      <c r="B34" s="141" t="n"/>
      <c r="C34" s="141" t="n"/>
      <c r="D34" s="141" t="n"/>
      <c r="E34" s="141" t="n"/>
      <c r="F34" s="141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M25"/>
  <sheetViews>
    <sheetView view="pageBreakPreview" zoomScaleNormal="70" workbookViewId="0">
      <selection activeCell="B27" sqref="B27:D32"/>
    </sheetView>
  </sheetViews>
  <sheetFormatPr baseColWidth="8" defaultColWidth="9.140625" defaultRowHeight="15"/>
  <cols>
    <col width="5.42578125" customWidth="1" style="139" min="1" max="1"/>
    <col width="9.140625" customWidth="1" style="139" min="2" max="2"/>
    <col width="35.42578125" customWidth="1" style="139" min="3" max="3"/>
    <col width="13.85546875" customWidth="1" style="139" min="4" max="4"/>
    <col width="17.42578125" customWidth="1" style="139" min="5" max="5"/>
    <col width="12.5703125" customWidth="1" style="139" min="6" max="6"/>
    <col width="14.85546875" customWidth="1" style="139" min="7" max="7"/>
    <col width="16.5703125" customWidth="1" style="139" min="8" max="8"/>
    <col width="13" customWidth="1" style="139" min="9" max="10"/>
    <col width="9.140625" customWidth="1" style="139" min="11" max="11"/>
  </cols>
  <sheetData>
    <row r="3" ht="15.6" customHeight="1" s="139">
      <c r="B3" s="163" t="inlineStr">
        <is>
          <t>Приложение № 2</t>
        </is>
      </c>
    </row>
    <row r="4" ht="15.6" customHeight="1" s="139">
      <c r="B4" s="167" t="inlineStr">
        <is>
          <t>Расчет стоимости основных видов работ для выбора объекта-представителя</t>
        </is>
      </c>
    </row>
    <row r="5" ht="15.6" customHeight="1" s="139">
      <c r="B5" s="86" t="n"/>
      <c r="C5" s="86" t="n"/>
      <c r="D5" s="86" t="n"/>
      <c r="E5" s="86" t="n"/>
      <c r="F5" s="86" t="n"/>
      <c r="G5" s="86" t="n"/>
      <c r="H5" s="86" t="n"/>
      <c r="I5" s="86" t="n"/>
      <c r="J5" s="86" t="n"/>
    </row>
    <row r="6" ht="15.6" customHeight="1" s="139">
      <c r="B6" s="162" t="inlineStr">
        <is>
          <t>Наименование разрабатываемого показателя УНЦ -  Токопровод с литой изоляцией 35 кВ, 630 А</t>
        </is>
      </c>
      <c r="K6" s="2" t="n"/>
    </row>
    <row r="7" ht="15.6" customHeight="1" s="139">
      <c r="B7" s="162" t="inlineStr">
        <is>
          <t>Единица измерения  — 1 м</t>
        </is>
      </c>
      <c r="K7" s="2" t="n"/>
    </row>
    <row r="8" ht="18" customHeight="1" s="139">
      <c r="B8" s="96" t="n"/>
    </row>
    <row r="9" ht="15.6" customFormat="1" customHeight="1" s="141">
      <c r="B9" s="168" t="inlineStr">
        <is>
          <t>№ п/п</t>
        </is>
      </c>
      <c r="C9" s="16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68" t="inlineStr">
        <is>
          <t>Объект-представитель 1</t>
        </is>
      </c>
      <c r="E9" s="193" t="n"/>
      <c r="F9" s="193" t="n"/>
      <c r="G9" s="193" t="n"/>
      <c r="H9" s="193" t="n"/>
      <c r="I9" s="193" t="n"/>
      <c r="J9" s="194" t="n"/>
    </row>
    <row r="10" ht="15.6" customFormat="1" customHeight="1" s="141">
      <c r="B10" s="195" t="n"/>
      <c r="C10" s="195" t="n"/>
      <c r="D10" s="168" t="inlineStr">
        <is>
          <t>Номер сметы</t>
        </is>
      </c>
      <c r="E10" s="168" t="inlineStr">
        <is>
          <t>Наименование сметы</t>
        </is>
      </c>
      <c r="F10" s="168" t="inlineStr">
        <is>
          <t>Сметная стоимость в уровне цен 01.01.2000 г., тыс. руб.</t>
        </is>
      </c>
      <c r="G10" s="193" t="n"/>
      <c r="H10" s="193" t="n"/>
      <c r="I10" s="193" t="n"/>
      <c r="J10" s="194" t="n"/>
    </row>
    <row r="11" ht="31.35" customFormat="1" customHeight="1" s="141">
      <c r="B11" s="196" t="n"/>
      <c r="C11" s="196" t="n"/>
      <c r="D11" s="196" t="n"/>
      <c r="E11" s="196" t="n"/>
      <c r="F11" s="168" t="inlineStr">
        <is>
          <t>Строительные работы</t>
        </is>
      </c>
      <c r="G11" s="168" t="inlineStr">
        <is>
          <t>Монтажные работы</t>
        </is>
      </c>
      <c r="H11" s="168" t="inlineStr">
        <is>
          <t>Оборудование</t>
        </is>
      </c>
      <c r="I11" s="168" t="inlineStr">
        <is>
          <t>Прочее</t>
        </is>
      </c>
      <c r="J11" s="168" t="inlineStr">
        <is>
          <t>Всего</t>
        </is>
      </c>
    </row>
    <row r="12" ht="46.9" customFormat="1" customHeight="1" s="141">
      <c r="B12" s="168" t="n">
        <v>1</v>
      </c>
      <c r="C12" s="168" t="inlineStr">
        <is>
          <t>Малогабаритный трехфазный литой токопровод 35 кВ, Iн= 630 А  - 250 м</t>
        </is>
      </c>
      <c r="D12" s="133" t="inlineStr">
        <is>
          <t>02-01-01</t>
        </is>
      </c>
      <c r="E12" s="177" t="inlineStr">
        <is>
          <t>Строительно-монтажные работы</t>
        </is>
      </c>
      <c r="F12" s="197" t="n"/>
      <c r="G12" s="197" t="n">
        <v>13260.02379</v>
      </c>
      <c r="H12" s="197" t="n"/>
      <c r="I12" s="197" t="n"/>
      <c r="J12" s="197">
        <f>SUM(F12:I12)</f>
        <v/>
      </c>
      <c r="K12" s="198" t="n"/>
      <c r="L12" s="198" t="n"/>
      <c r="M12" s="198" t="n"/>
    </row>
    <row r="13" ht="15.6" customFormat="1" customHeight="1" s="141">
      <c r="B13" s="166" t="inlineStr">
        <is>
          <t>Всего по объекту:</t>
        </is>
      </c>
      <c r="C13" s="193" t="n"/>
      <c r="D13" s="193" t="n"/>
      <c r="E13" s="194" t="n"/>
      <c r="F13" s="199">
        <f>SUM(F12:F12)</f>
        <v/>
      </c>
      <c r="G13" s="199">
        <f>SUM(G12:G12)</f>
        <v/>
      </c>
      <c r="H13" s="199">
        <f>SUM(H12:H12)</f>
        <v/>
      </c>
      <c r="I13" s="199">
        <f>SUM(I12:I12)</f>
        <v/>
      </c>
      <c r="J13" s="199">
        <f>SUM(F13:I13)</f>
        <v/>
      </c>
    </row>
    <row r="14" ht="28.5" customFormat="1" customHeight="1" s="141">
      <c r="B14" s="166" t="inlineStr">
        <is>
          <t>Всего по объекту в сопоставимом уровне цен 01.01.2000 г:</t>
        </is>
      </c>
      <c r="C14" s="193" t="n"/>
      <c r="D14" s="193" t="n"/>
      <c r="E14" s="194" t="n"/>
      <c r="F14" s="200">
        <f>F13</f>
        <v/>
      </c>
      <c r="G14" s="200">
        <f>G13</f>
        <v/>
      </c>
      <c r="H14" s="200">
        <f>H13</f>
        <v/>
      </c>
      <c r="I14" s="200">
        <f>I13</f>
        <v/>
      </c>
      <c r="J14" s="200">
        <f>SUM(F14:I14)</f>
        <v/>
      </c>
    </row>
    <row r="15" ht="15.6" customFormat="1" customHeight="1" s="141">
      <c r="B15" s="162" t="n"/>
    </row>
    <row r="16" ht="15.6" customFormat="1" customHeight="1" s="141"/>
    <row r="17" ht="15.6" customFormat="1" customHeight="1" s="141">
      <c r="C17" s="141" t="n"/>
      <c r="D17" s="141" t="n"/>
      <c r="E17" s="141" t="n"/>
    </row>
    <row r="18" ht="15.6" customFormat="1" customHeight="1" s="141">
      <c r="C18" s="141" t="inlineStr">
        <is>
          <t>Составил ______________________        М.С. Колотиевская</t>
        </is>
      </c>
      <c r="D18" s="141" t="n"/>
      <c r="E18" s="141" t="n"/>
    </row>
    <row r="19" ht="15.6" customFormat="1" customHeight="1" s="141">
      <c r="C19" s="131" t="inlineStr">
        <is>
          <t xml:space="preserve">                         (подпись, инициалы, фамилия)</t>
        </is>
      </c>
      <c r="D19" s="141" t="n"/>
      <c r="E19" s="141" t="n"/>
    </row>
    <row r="20" ht="15.6" customFormat="1" customHeight="1" s="141">
      <c r="C20" s="141" t="n"/>
      <c r="D20" s="141" t="n"/>
      <c r="E20" s="141" t="n"/>
    </row>
    <row r="21" ht="15.6" customFormat="1" customHeight="1" s="141">
      <c r="C21" s="141" t="inlineStr">
        <is>
          <t>Проверил ______________________      А.В. Костянецкая</t>
        </is>
      </c>
      <c r="D21" s="141" t="n"/>
      <c r="E21" s="141" t="n"/>
    </row>
    <row r="22" ht="15.6" customFormat="1" customHeight="1" s="141">
      <c r="C22" s="131" t="inlineStr">
        <is>
          <t xml:space="preserve">                        (подпись, инициалы, фамилия)</t>
        </is>
      </c>
      <c r="D22" s="141" t="n"/>
      <c r="E22" s="141" t="n"/>
    </row>
    <row r="23" ht="15" customHeight="1" s="139">
      <c r="A23" s="141" t="n"/>
      <c r="B23" s="141" t="n"/>
      <c r="C23" s="141" t="n"/>
      <c r="D23" s="141" t="n"/>
      <c r="E23" s="141" t="n"/>
      <c r="F23" s="141" t="n"/>
      <c r="G23" s="141" t="n"/>
      <c r="H23" s="141" t="n"/>
      <c r="I23" s="141" t="n"/>
      <c r="J23" s="141" t="n"/>
      <c r="K23" s="141" t="n"/>
    </row>
    <row r="24" ht="15" customHeight="1" s="139">
      <c r="A24" s="141" t="n"/>
      <c r="B24" s="141" t="n"/>
      <c r="C24" s="141" t="n"/>
      <c r="D24" s="141" t="n"/>
      <c r="E24" s="141" t="n"/>
      <c r="F24" s="141" t="n"/>
      <c r="G24" s="141" t="n"/>
      <c r="H24" s="141" t="n"/>
      <c r="I24" s="141" t="n"/>
      <c r="J24" s="141" t="n"/>
      <c r="K24" s="141" t="n"/>
    </row>
    <row r="25" ht="15" customHeight="1" s="139">
      <c r="A25" s="141" t="n"/>
      <c r="B25" s="141" t="n"/>
      <c r="C25" s="141" t="n"/>
      <c r="D25" s="141" t="n"/>
      <c r="E25" s="141" t="n"/>
      <c r="F25" s="141" t="n"/>
      <c r="G25" s="141" t="n"/>
      <c r="H25" s="141" t="n"/>
      <c r="I25" s="141" t="n"/>
      <c r="J25" s="141" t="n"/>
      <c r="K25" s="141" t="n"/>
    </row>
    <row r="26" s="139"/>
    <row r="27" s="139"/>
    <row r="28" s="139"/>
    <row r="29" s="139"/>
    <row r="30" s="139"/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4:H45"/>
  <sheetViews>
    <sheetView view="pageBreakPreview" topLeftCell="A6" zoomScale="70" zoomScaleSheetLayoutView="70" workbookViewId="0">
      <selection activeCell="F153" sqref="F153"/>
    </sheetView>
  </sheetViews>
  <sheetFormatPr baseColWidth="8" defaultColWidth="9.140625" defaultRowHeight="15"/>
  <cols>
    <col width="9.140625" customWidth="1" style="139" min="1" max="1"/>
    <col width="12.42578125" customWidth="1" style="139" min="2" max="2"/>
    <col width="17" customWidth="1" style="139" min="3" max="3"/>
    <col width="49.5703125" customWidth="1" style="139" min="4" max="4"/>
    <col width="16.42578125" customWidth="1" style="139" min="5" max="5"/>
    <col width="20.5703125" customWidth="1" style="139" min="6" max="6"/>
    <col width="16.140625" customWidth="1" style="139" min="7" max="7"/>
    <col width="16.5703125" customWidth="1" style="139" min="8" max="8"/>
    <col width="9.140625" customWidth="1" style="139" min="9" max="9"/>
  </cols>
  <sheetData>
    <row r="2" s="139"/>
    <row r="3" s="139"/>
    <row r="4" ht="15.6" customHeight="1" s="139">
      <c r="A4" s="163" t="inlineStr">
        <is>
          <t xml:space="preserve">Приложение № 3 </t>
        </is>
      </c>
    </row>
    <row r="5" ht="17.45" customHeight="1" s="139">
      <c r="A5" s="164" t="inlineStr">
        <is>
          <t>Объектная ресурсная ведомость</t>
        </is>
      </c>
    </row>
    <row r="6" ht="18" customHeight="1" s="139">
      <c r="A6" s="96" t="n"/>
    </row>
    <row r="7" ht="15.6" customHeight="1" s="139">
      <c r="A7" s="169" t="inlineStr">
        <is>
          <t>Наименование разрабатываемого показателя УНЦ -  Токопровод с литой изоляцией 35 кВ, 630 А</t>
        </is>
      </c>
    </row>
    <row r="8" ht="15.6" customHeight="1" s="139">
      <c r="A8" s="169" t="n"/>
      <c r="B8" s="169" t="n"/>
      <c r="C8" s="169" t="n"/>
      <c r="D8" s="169" t="n"/>
      <c r="E8" s="169" t="n"/>
      <c r="F8" s="169" t="n"/>
      <c r="G8" s="169" t="n"/>
      <c r="H8" s="169" t="n"/>
    </row>
    <row r="9" ht="38.25" customFormat="1" customHeight="1" s="141">
      <c r="A9" s="168" t="inlineStr">
        <is>
          <t>п/п</t>
        </is>
      </c>
      <c r="B9" s="168" t="inlineStr">
        <is>
          <t>№ЛСР</t>
        </is>
      </c>
      <c r="C9" s="168" t="inlineStr">
        <is>
          <t>Код ресурса</t>
        </is>
      </c>
      <c r="D9" s="168" t="inlineStr">
        <is>
          <t>Наименование ресурса</t>
        </is>
      </c>
      <c r="E9" s="168" t="inlineStr">
        <is>
          <t>Ед. изм.</t>
        </is>
      </c>
      <c r="F9" s="168" t="inlineStr">
        <is>
          <t>Кол-во единиц по данным объекта-представителя</t>
        </is>
      </c>
      <c r="G9" s="168" t="inlineStr">
        <is>
          <t>Сметная стоимость в ценах на 01.01.2000 (руб.)</t>
        </is>
      </c>
      <c r="H9" s="194" t="n"/>
    </row>
    <row r="10" ht="40.7" customFormat="1" customHeight="1" s="141">
      <c r="A10" s="196" t="n"/>
      <c r="B10" s="196" t="n"/>
      <c r="C10" s="196" t="n"/>
      <c r="D10" s="196" t="n"/>
      <c r="E10" s="196" t="n"/>
      <c r="F10" s="196" t="n"/>
      <c r="G10" s="168" t="inlineStr">
        <is>
          <t>на ед.изм.</t>
        </is>
      </c>
      <c r="H10" s="168" t="inlineStr">
        <is>
          <t>общая</t>
        </is>
      </c>
    </row>
    <row r="11" ht="15.6" customFormat="1" customHeight="1" s="141">
      <c r="A11" s="168" t="n">
        <v>1</v>
      </c>
      <c r="B11" s="168" t="n"/>
      <c r="C11" s="168" t="n">
        <v>2</v>
      </c>
      <c r="D11" s="168" t="inlineStr">
        <is>
          <t>З</t>
        </is>
      </c>
      <c r="E11" s="168" t="n">
        <v>4</v>
      </c>
      <c r="F11" s="168" t="n">
        <v>5</v>
      </c>
      <c r="G11" s="168" t="n">
        <v>6</v>
      </c>
      <c r="H11" s="168" t="n">
        <v>7</v>
      </c>
    </row>
    <row r="12" ht="15.6" customFormat="1" customHeight="1" s="10">
      <c r="A12" s="170" t="inlineStr">
        <is>
          <t>Затраты труда рабочих</t>
        </is>
      </c>
      <c r="B12" s="193" t="n"/>
      <c r="C12" s="193" t="n"/>
      <c r="D12" s="193" t="n"/>
      <c r="E12" s="194" t="n"/>
      <c r="F12" s="170" t="n">
        <v>6952.5</v>
      </c>
      <c r="G12" s="12" t="n"/>
      <c r="H12" s="12">
        <f>H13</f>
        <v/>
      </c>
    </row>
    <row r="13" ht="15.6" customFormat="1" customHeight="1" s="141">
      <c r="A13" s="171" t="n">
        <v>1</v>
      </c>
      <c r="B13" s="171" t="n"/>
      <c r="C13" s="182" t="inlineStr">
        <is>
          <t>1-4-0</t>
        </is>
      </c>
      <c r="D13" s="172" t="inlineStr">
        <is>
          <t>Затраты труда рабочих (ср 4,0)</t>
        </is>
      </c>
      <c r="E13" s="171" t="inlineStr">
        <is>
          <t>чел.-ч</t>
        </is>
      </c>
      <c r="F13" s="171" t="n">
        <v>6952.5</v>
      </c>
      <c r="G13" s="173" t="n">
        <v>9.619999999999999</v>
      </c>
      <c r="H13" s="173">
        <f>ROUND(F13*G13,2)</f>
        <v/>
      </c>
    </row>
    <row r="14" ht="15.6" customFormat="1" customHeight="1" s="10">
      <c r="A14" s="170" t="inlineStr">
        <is>
          <t>Затраты труда машинистов</t>
        </is>
      </c>
      <c r="B14" s="193" t="n"/>
      <c r="C14" s="193" t="n"/>
      <c r="D14" s="193" t="n"/>
      <c r="E14" s="194" t="n"/>
      <c r="F14" s="170" t="n">
        <v>4552.5</v>
      </c>
      <c r="G14" s="12" t="n"/>
      <c r="H14" s="12">
        <f>H15</f>
        <v/>
      </c>
    </row>
    <row r="15" ht="15.6" customFormat="1" customHeight="1" s="141">
      <c r="A15" s="171" t="n">
        <v>2</v>
      </c>
      <c r="B15" s="171" t="n"/>
      <c r="C15" s="172" t="n">
        <v>2</v>
      </c>
      <c r="D15" s="172" t="inlineStr">
        <is>
          <t>Затраты труда машинистов</t>
        </is>
      </c>
      <c r="E15" s="171" t="inlineStr">
        <is>
          <t>чел.-ч</t>
        </is>
      </c>
      <c r="F15" s="171" t="n">
        <v>4552.5</v>
      </c>
      <c r="G15" s="173" t="n"/>
      <c r="H15" s="173" t="n">
        <v>56132.33</v>
      </c>
    </row>
    <row r="16" ht="15.6" customFormat="1" customHeight="1" s="10">
      <c r="A16" s="170" t="inlineStr">
        <is>
          <t>Машины и механизмы</t>
        </is>
      </c>
      <c r="B16" s="193" t="n"/>
      <c r="C16" s="193" t="n"/>
      <c r="D16" s="193" t="n"/>
      <c r="E16" s="194" t="n"/>
      <c r="F16" s="170" t="n"/>
      <c r="G16" s="12" t="n"/>
      <c r="H16" s="12">
        <f>SUM(H17:H20)</f>
        <v/>
      </c>
    </row>
    <row r="17" ht="31.35" customFormat="1" customHeight="1" s="141">
      <c r="A17" s="171" t="n">
        <v>3</v>
      </c>
      <c r="B17" s="171" t="n"/>
      <c r="C17" s="172" t="inlineStr">
        <is>
          <t>91.06.03-058</t>
        </is>
      </c>
      <c r="D17" s="172" t="inlineStr">
        <is>
          <t>Лебедки электрические тяговым усилием 156,96 кН (16 т)</t>
        </is>
      </c>
      <c r="E17" s="171" t="inlineStr">
        <is>
          <t>маш.час</t>
        </is>
      </c>
      <c r="F17" s="171" t="n">
        <v>2452.5</v>
      </c>
      <c r="G17" s="173" t="n">
        <v>131.44</v>
      </c>
      <c r="H17" s="173">
        <f>ROUND(F17*G17,2)</f>
        <v/>
      </c>
    </row>
    <row r="18" ht="31.35" customFormat="1" customHeight="1" s="141">
      <c r="A18" s="171" t="n">
        <v>4</v>
      </c>
      <c r="B18" s="171" t="n"/>
      <c r="C18" s="172" t="inlineStr">
        <is>
          <t>91.05.05-015</t>
        </is>
      </c>
      <c r="D18" s="172" t="inlineStr">
        <is>
          <t>Краны на автомобильном ходу, грузоподъемность 16 т</t>
        </is>
      </c>
      <c r="E18" s="171" t="inlineStr">
        <is>
          <t>маш.час</t>
        </is>
      </c>
      <c r="F18" s="171" t="n">
        <v>1747.5</v>
      </c>
      <c r="G18" s="173" t="n">
        <v>115.4</v>
      </c>
      <c r="H18" s="173">
        <f>ROUND(F18*G18,2)</f>
        <v/>
      </c>
    </row>
    <row r="19" ht="15.6" customFormat="1" customHeight="1" s="141">
      <c r="A19" s="171" t="n">
        <v>5</v>
      </c>
      <c r="B19" s="171" t="n"/>
      <c r="C19" s="172" t="inlineStr">
        <is>
          <t>91.14.02-001</t>
        </is>
      </c>
      <c r="D19" s="172" t="inlineStr">
        <is>
          <t>Автомобили бортовые, грузоподъемность до 5 т</t>
        </is>
      </c>
      <c r="E19" s="171" t="inlineStr">
        <is>
          <t>маш.час</t>
        </is>
      </c>
      <c r="F19" s="171" t="n">
        <v>352.5</v>
      </c>
      <c r="G19" s="173" t="n">
        <v>65.70999999999999</v>
      </c>
      <c r="H19" s="173">
        <f>ROUND(F19*G19,2)</f>
        <v/>
      </c>
    </row>
    <row r="20" ht="31.35" customFormat="1" customHeight="1" s="141">
      <c r="A20" s="171" t="n">
        <v>6</v>
      </c>
      <c r="B20" s="171" t="n"/>
      <c r="C20" s="172" t="inlineStr">
        <is>
          <t>91.17.04-161</t>
        </is>
      </c>
      <c r="D20" s="172" t="inlineStr">
        <is>
          <t>Полуавтоматы сварочные номинальным сварочным током 40-500 А</t>
        </is>
      </c>
      <c r="E20" s="171" t="inlineStr">
        <is>
          <t>маш.час</t>
        </is>
      </c>
      <c r="F20" s="171" t="n">
        <v>502.5</v>
      </c>
      <c r="G20" s="173" t="n">
        <v>16.44</v>
      </c>
      <c r="H20" s="173">
        <f>ROUND(F20*G20,2)</f>
        <v/>
      </c>
    </row>
    <row r="21" ht="15.6" customFormat="1" customHeight="1" s="10">
      <c r="A21" s="170" t="inlineStr">
        <is>
          <t>Оборудование</t>
        </is>
      </c>
      <c r="B21" s="193" t="n"/>
      <c r="C21" s="193" t="n"/>
      <c r="D21" s="193" t="n"/>
      <c r="E21" s="194" t="n"/>
      <c r="F21" s="170" t="n"/>
      <c r="G21" s="12" t="n"/>
      <c r="H21" s="12" t="n">
        <v>0</v>
      </c>
    </row>
    <row r="22" ht="15.6" customFormat="1" customHeight="1" s="10">
      <c r="A22" s="170" t="inlineStr">
        <is>
          <t>Материалы</t>
        </is>
      </c>
      <c r="B22" s="193" t="n"/>
      <c r="C22" s="193" t="n"/>
      <c r="D22" s="193" t="n"/>
      <c r="E22" s="194" t="n"/>
      <c r="F22" s="170" t="n"/>
      <c r="G22" s="12" t="n"/>
      <c r="H22" s="12">
        <f>SUM(H23:H37)</f>
        <v/>
      </c>
    </row>
    <row r="23" ht="31.35" customFormat="1" customHeight="1" s="141">
      <c r="A23" s="171" t="n">
        <v>7</v>
      </c>
      <c r="B23" s="171" t="n"/>
      <c r="C23" s="172" t="inlineStr">
        <is>
          <t>Прайс из СД ОП</t>
        </is>
      </c>
      <c r="D23" s="172" t="inlineStr">
        <is>
          <t xml:space="preserve">Малогабаритный трехфазный литой токопровод 35 кВ, Iн= 630 А </t>
        </is>
      </c>
      <c r="E23" s="171" t="inlineStr">
        <is>
          <t>м</t>
        </is>
      </c>
      <c r="F23" s="171" t="n">
        <v>250</v>
      </c>
      <c r="G23" s="173" t="n">
        <v>50319.49</v>
      </c>
      <c r="H23" s="173">
        <f>ROUND(F23*G23,2)</f>
        <v/>
      </c>
    </row>
    <row r="24" ht="15.6" customFormat="1" customHeight="1" s="141">
      <c r="A24" s="171" t="n">
        <v>8</v>
      </c>
      <c r="B24" s="171" t="n"/>
      <c r="C24" s="172" t="inlineStr">
        <is>
          <t>01.1.02.01-0003</t>
        </is>
      </c>
      <c r="D24" s="172" t="inlineStr">
        <is>
          <t>Асботекстолит, марка Г</t>
        </is>
      </c>
      <c r="E24" s="171" t="inlineStr">
        <is>
          <t>т</t>
        </is>
      </c>
      <c r="F24" s="171" t="n">
        <v>0.1275</v>
      </c>
      <c r="G24" s="173" t="n">
        <v>161000</v>
      </c>
      <c r="H24" s="173">
        <f>ROUND(F24*G24,2)</f>
        <v/>
      </c>
    </row>
    <row r="25" ht="15.6" customFormat="1" customHeight="1" s="141">
      <c r="A25" s="171" t="n">
        <v>9</v>
      </c>
      <c r="B25" s="171" t="n"/>
      <c r="C25" s="172" t="inlineStr">
        <is>
          <t>01.3.02.02-0001</t>
        </is>
      </c>
      <c r="D25" s="172" t="inlineStr">
        <is>
          <t>Аргон газообразный, сорт I</t>
        </is>
      </c>
      <c r="E25" s="171" t="inlineStr">
        <is>
          <t>м3</t>
        </is>
      </c>
      <c r="F25" s="171" t="n">
        <v>607.5</v>
      </c>
      <c r="G25" s="173" t="n">
        <v>17.86</v>
      </c>
      <c r="H25" s="173">
        <f>ROUND(F25*G25,2)</f>
        <v/>
      </c>
    </row>
    <row r="26" ht="31.35" customFormat="1" customHeight="1" s="141">
      <c r="A26" s="171" t="n">
        <v>10</v>
      </c>
      <c r="B26" s="171" t="n"/>
      <c r="C26" s="172" t="inlineStr">
        <is>
          <t>01.7.11.04-0002</t>
        </is>
      </c>
      <c r="D26" s="172" t="inlineStr">
        <is>
          <t>Проволока наплавочная ПП-Нп-19СТ, диаметр 3 мм</t>
        </is>
      </c>
      <c r="E26" s="171" t="inlineStr">
        <is>
          <t>т</t>
        </is>
      </c>
      <c r="F26" s="171" t="n">
        <v>0.435</v>
      </c>
      <c r="G26" s="173" t="n">
        <v>20300</v>
      </c>
      <c r="H26" s="173">
        <f>ROUND(F26*G26,2)</f>
        <v/>
      </c>
    </row>
    <row r="27" ht="15.6" customFormat="1" customHeight="1" s="141">
      <c r="A27" s="171" t="n">
        <v>11</v>
      </c>
      <c r="B27" s="171" t="n"/>
      <c r="C27" s="172" t="inlineStr">
        <is>
          <t>01.3.02.03-0001</t>
        </is>
      </c>
      <c r="D27" s="172" t="inlineStr">
        <is>
          <t>Ацетилен газообразный технический</t>
        </is>
      </c>
      <c r="E27" s="171" t="inlineStr">
        <is>
          <t>м3</t>
        </is>
      </c>
      <c r="F27" s="171" t="n">
        <v>82.5</v>
      </c>
      <c r="G27" s="173" t="n">
        <v>38.51</v>
      </c>
      <c r="H27" s="173">
        <f>ROUND(F27*G27,2)</f>
        <v/>
      </c>
    </row>
    <row r="28" ht="15.6" customFormat="1" customHeight="1" s="141">
      <c r="A28" s="171" t="n">
        <v>12</v>
      </c>
      <c r="B28" s="171" t="n"/>
      <c r="C28" s="172" t="inlineStr">
        <is>
          <t>01.7.02.06-0017</t>
        </is>
      </c>
      <c r="D28" s="172" t="inlineStr">
        <is>
          <t>Картон строительный прокладочный, марка Б</t>
        </is>
      </c>
      <c r="E28" s="171" t="inlineStr">
        <is>
          <t>т</t>
        </is>
      </c>
      <c r="F28" s="171" t="n">
        <v>0.15</v>
      </c>
      <c r="G28" s="173" t="n">
        <v>19800</v>
      </c>
      <c r="H28" s="173">
        <f>ROUND(F28*G28,2)</f>
        <v/>
      </c>
    </row>
    <row r="29" ht="31.35" customFormat="1" customHeight="1" s="141">
      <c r="A29" s="171" t="n">
        <v>13</v>
      </c>
      <c r="B29" s="171" t="n"/>
      <c r="C29" s="172" t="inlineStr">
        <is>
          <t>01.7.19.04-0031</t>
        </is>
      </c>
      <c r="D29" s="172" t="inlineStr">
        <is>
          <t>Прокладки резиновые (пластина техническая прессованная)</t>
        </is>
      </c>
      <c r="E29" s="171" t="inlineStr">
        <is>
          <t>кг</t>
        </is>
      </c>
      <c r="F29" s="171" t="n">
        <v>93.75</v>
      </c>
      <c r="G29" s="173" t="n">
        <v>23.09</v>
      </c>
      <c r="H29" s="173">
        <f>ROUND(F29*G29,2)</f>
        <v/>
      </c>
    </row>
    <row r="30" ht="15.6" customFormat="1" customHeight="1" s="141">
      <c r="A30" s="171" t="n">
        <v>14</v>
      </c>
      <c r="B30" s="171" t="n"/>
      <c r="C30" s="172" t="inlineStr">
        <is>
          <t>14.4.02.09-0001</t>
        </is>
      </c>
      <c r="D30" s="172" t="inlineStr">
        <is>
          <t>Краска</t>
        </is>
      </c>
      <c r="E30" s="171" t="inlineStr">
        <is>
          <t>кг</t>
        </is>
      </c>
      <c r="F30" s="171" t="n">
        <v>75</v>
      </c>
      <c r="G30" s="173" t="n">
        <v>28.6</v>
      </c>
      <c r="H30" s="173">
        <f>ROUND(F30*G30,2)</f>
        <v/>
      </c>
    </row>
    <row r="31" ht="15.6" customFormat="1" customHeight="1" s="141">
      <c r="A31" s="171" t="n">
        <v>15</v>
      </c>
      <c r="B31" s="171" t="n"/>
      <c r="C31" s="172" t="inlineStr">
        <is>
          <t>07.2.07.13-0171</t>
        </is>
      </c>
      <c r="D31" s="172" t="inlineStr">
        <is>
          <t>Подкладки металлические</t>
        </is>
      </c>
      <c r="E31" s="171" t="inlineStr">
        <is>
          <t>кг</t>
        </is>
      </c>
      <c r="F31" s="171" t="n">
        <v>150</v>
      </c>
      <c r="G31" s="173" t="n">
        <v>12.6</v>
      </c>
      <c r="H31" s="173">
        <f>ROUND(F31*G31,2)</f>
        <v/>
      </c>
    </row>
    <row r="32" ht="31.35" customFormat="1" customHeight="1" s="141">
      <c r="A32" s="171" t="n">
        <v>16</v>
      </c>
      <c r="B32" s="171" t="n"/>
      <c r="C32" s="172" t="inlineStr">
        <is>
          <t>999-9950</t>
        </is>
      </c>
      <c r="D32" s="172" t="inlineStr">
        <is>
          <t>Вспомогательные ненормируемые ресурсы (2% от Оплаты труда рабочих)</t>
        </is>
      </c>
      <c r="E32" s="171" t="inlineStr">
        <is>
          <t>руб</t>
        </is>
      </c>
      <c r="F32" s="171" t="n">
        <v>1335</v>
      </c>
      <c r="G32" s="173" t="n">
        <v>1</v>
      </c>
      <c r="H32" s="173">
        <f>ROUND(F32*G32,2)</f>
        <v/>
      </c>
    </row>
    <row r="33" ht="31.35" customFormat="1" customHeight="1" s="141">
      <c r="A33" s="171" t="n">
        <v>17</v>
      </c>
      <c r="B33" s="171" t="n"/>
      <c r="C33" s="172" t="inlineStr">
        <is>
          <t>11.1.03.05-0085</t>
        </is>
      </c>
      <c r="D33" s="172" t="inlineStr">
        <is>
          <t>Доска необрезная, хвойных пород, длина 4-6,5 м, все ширины, толщина 44 мм и более, сорт III</t>
        </is>
      </c>
      <c r="E33" s="171" t="inlineStr">
        <is>
          <t>м3</t>
        </is>
      </c>
      <c r="F33" s="171" t="n">
        <v>1.5</v>
      </c>
      <c r="G33" s="173" t="n">
        <v>684</v>
      </c>
      <c r="H33" s="173">
        <f>ROUND(F33*G33,2)</f>
        <v/>
      </c>
    </row>
    <row r="34" ht="31.35" customFormat="1" customHeight="1" s="141">
      <c r="A34" s="171" t="n">
        <v>18</v>
      </c>
      <c r="B34" s="171" t="n"/>
      <c r="C34" s="172" t="inlineStr">
        <is>
          <t>01.7.15.06-0121</t>
        </is>
      </c>
      <c r="D34" s="172" t="inlineStr">
        <is>
          <t>Гвозди строительные с плоской головкой, размер 1,6х50 мм</t>
        </is>
      </c>
      <c r="E34" s="171" t="inlineStr">
        <is>
          <t>т</t>
        </is>
      </c>
      <c r="F34" s="171" t="n">
        <v>0.1125</v>
      </c>
      <c r="G34" s="173" t="n">
        <v>8475</v>
      </c>
      <c r="H34" s="173">
        <f>ROUND(F34*G34,2)</f>
        <v/>
      </c>
    </row>
    <row r="35" ht="15.6" customFormat="1" customHeight="1" s="141">
      <c r="A35" s="171" t="n">
        <v>19</v>
      </c>
      <c r="B35" s="171" t="n"/>
      <c r="C35" s="172" t="inlineStr">
        <is>
          <t>14.5.09.01-0003</t>
        </is>
      </c>
      <c r="D35" s="172" t="inlineStr">
        <is>
          <t>Ацетон технический, сорт высший</t>
        </is>
      </c>
      <c r="E35" s="171" t="inlineStr">
        <is>
          <t>т</t>
        </is>
      </c>
      <c r="F35" s="171" t="n">
        <v>0.09</v>
      </c>
      <c r="G35" s="173" t="n">
        <v>9360</v>
      </c>
      <c r="H35" s="173">
        <f>ROUND(F35*G35,2)</f>
        <v/>
      </c>
    </row>
    <row r="36" ht="15.6" customFormat="1" customHeight="1" s="141">
      <c r="A36" s="171" t="n">
        <v>20</v>
      </c>
      <c r="B36" s="171" t="n"/>
      <c r="C36" s="172" t="inlineStr">
        <is>
          <t>01.7.11.07-0034</t>
        </is>
      </c>
      <c r="D36" s="172" t="inlineStr">
        <is>
          <t>Электроды сварочные Э42А, диаметр 4 мм</t>
        </is>
      </c>
      <c r="E36" s="171" t="inlineStr">
        <is>
          <t>кг</t>
        </is>
      </c>
      <c r="F36" s="171" t="n">
        <v>60</v>
      </c>
      <c r="G36" s="173" t="n">
        <v>10.57</v>
      </c>
      <c r="H36" s="173">
        <f>ROUND(F36*G36,2)</f>
        <v/>
      </c>
    </row>
    <row r="37" ht="15.6" customFormat="1" customHeight="1" s="141">
      <c r="A37" s="171" t="n">
        <v>21</v>
      </c>
      <c r="B37" s="171" t="n"/>
      <c r="C37" s="172" t="inlineStr">
        <is>
          <t>01.3.02.08-0001</t>
        </is>
      </c>
      <c r="D37" s="172" t="inlineStr">
        <is>
          <t>Кислород газообразный технический</t>
        </is>
      </c>
      <c r="E37" s="171" t="inlineStr">
        <is>
          <t>м3</t>
        </is>
      </c>
      <c r="F37" s="171" t="n">
        <v>77.25</v>
      </c>
      <c r="G37" s="173" t="n">
        <v>6.22</v>
      </c>
      <c r="H37" s="173">
        <f>ROUND(F37*G37,2)</f>
        <v/>
      </c>
    </row>
    <row r="38" ht="15.6" customFormat="1" customHeight="1" s="141"/>
    <row r="39" ht="15.6" customFormat="1" customHeight="1" s="141"/>
    <row r="40" ht="15.6" customFormat="1" customHeight="1" s="141">
      <c r="B40" s="141" t="n"/>
      <c r="C40" s="141" t="n"/>
      <c r="D40" s="141" t="n"/>
    </row>
    <row r="41" ht="15.6" customFormat="1" customHeight="1" s="141">
      <c r="B41" s="141" t="inlineStr">
        <is>
          <t>Составил ______________________        М.С. Колотиевская</t>
        </is>
      </c>
      <c r="C41" s="141" t="n"/>
      <c r="D41" s="141" t="n"/>
    </row>
    <row r="42" ht="15.6" customFormat="1" customHeight="1" s="141">
      <c r="B42" s="131" t="inlineStr">
        <is>
          <t xml:space="preserve">                         (подпись, инициалы, фамилия)</t>
        </is>
      </c>
      <c r="C42" s="141" t="n"/>
      <c r="D42" s="141" t="n"/>
    </row>
    <row r="43" ht="15.6" customFormat="1" customHeight="1" s="141">
      <c r="B43" s="141" t="n"/>
      <c r="C43" s="141" t="n"/>
      <c r="D43" s="141" t="n"/>
    </row>
    <row r="44" ht="15.6" customFormat="1" customHeight="1" s="141">
      <c r="B44" s="141" t="inlineStr">
        <is>
          <t>Проверил ______________________      А.В. Костянецкая</t>
        </is>
      </c>
      <c r="C44" s="141" t="n"/>
      <c r="D44" s="141" t="n"/>
    </row>
    <row r="45" ht="15.6" customFormat="1" customHeight="1" s="141">
      <c r="B45" s="131" t="inlineStr">
        <is>
          <t xml:space="preserve">                        (подпись, инициалы, фамилия)</t>
        </is>
      </c>
      <c r="C45" s="141" t="n"/>
      <c r="D45" s="141" t="n"/>
    </row>
    <row r="46" ht="15.6" customFormat="1" customHeight="1" s="141"/>
  </sheetData>
  <mergeCells count="15">
    <mergeCell ref="A21:E21"/>
    <mergeCell ref="A4:H4"/>
    <mergeCell ref="B9:B10"/>
    <mergeCell ref="A12:E12"/>
    <mergeCell ref="C9:C10"/>
    <mergeCell ref="D9:D10"/>
    <mergeCell ref="E9:E10"/>
    <mergeCell ref="F9:F10"/>
    <mergeCell ref="A16:E16"/>
    <mergeCell ref="A7:H7"/>
    <mergeCell ref="A9:A10"/>
    <mergeCell ref="A14:E14"/>
    <mergeCell ref="A5:H5"/>
    <mergeCell ref="G9:H9"/>
    <mergeCell ref="A22:E22"/>
  </mergeCells>
  <conditionalFormatting sqref="F12:F37">
    <cfRule type="expression" priority="1" dxfId="0" stopIfTrue="1">
      <formula>ROUND(F12*10000,0)/10000=F12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25" zoomScale="85" workbookViewId="0">
      <selection activeCell="B27" sqref="B27:D32"/>
    </sheetView>
  </sheetViews>
  <sheetFormatPr baseColWidth="8" defaultColWidth="9.140625" defaultRowHeight="15"/>
  <cols>
    <col width="4.140625" customWidth="1" style="139" min="1" max="1"/>
    <col width="36.42578125" customWidth="1" style="139" min="2" max="2"/>
    <col width="18.85546875" customWidth="1" style="139" min="3" max="3"/>
    <col width="18.42578125" customWidth="1" style="139" min="4" max="4"/>
    <col width="20.85546875" customWidth="1" style="139" min="5" max="5"/>
    <col width="9.140625" customWidth="1" style="139" min="6" max="10"/>
    <col width="13.42578125" customWidth="1" style="139" min="11" max="11"/>
    <col width="9.140625" customWidth="1" style="139" min="12" max="12"/>
  </cols>
  <sheetData>
    <row r="1" ht="15.6" customHeight="1" s="139">
      <c r="A1" s="32" t="n"/>
      <c r="B1" s="141" t="n"/>
      <c r="C1" s="141" t="n"/>
      <c r="D1" s="141" t="n"/>
      <c r="E1" s="141" t="n"/>
    </row>
    <row r="2" ht="15.6" customHeight="1" s="139">
      <c r="B2" s="141" t="n"/>
      <c r="C2" s="141" t="n"/>
      <c r="D2" s="141" t="n"/>
      <c r="E2" s="174" t="inlineStr">
        <is>
          <t>Приложение № 4</t>
        </is>
      </c>
    </row>
    <row r="3" ht="15.6" customHeight="1" s="139">
      <c r="B3" s="141" t="n"/>
      <c r="C3" s="141" t="n"/>
      <c r="D3" s="141" t="n"/>
      <c r="E3" s="141" t="n"/>
    </row>
    <row r="4" ht="15.6" customHeight="1" s="139">
      <c r="B4" s="141" t="n"/>
      <c r="C4" s="141" t="n"/>
      <c r="D4" s="141" t="n"/>
      <c r="E4" s="141" t="n"/>
    </row>
    <row r="5" ht="15.6" customHeight="1" s="139">
      <c r="B5" s="167" t="inlineStr">
        <is>
          <t>Ресурсная модель</t>
        </is>
      </c>
    </row>
    <row r="6" ht="15.6" customHeight="1" s="139">
      <c r="B6" s="162" t="n"/>
      <c r="C6" s="141" t="n"/>
      <c r="D6" s="141" t="n"/>
      <c r="E6" s="141" t="n"/>
    </row>
    <row r="7" ht="15.6" customHeight="1" s="139">
      <c r="B7" s="169" t="inlineStr">
        <is>
          <t>Наименование разрабатываемой расценки УНЦ —  Токопровод с литой изоляцией 35 кВ, 630 А</t>
        </is>
      </c>
    </row>
    <row r="8" ht="15.6" customHeight="1" s="139">
      <c r="B8" s="169" t="inlineStr">
        <is>
          <t>Единица измерения  — 1 м</t>
        </is>
      </c>
    </row>
    <row r="9">
      <c r="B9" s="37" t="n"/>
      <c r="C9" s="111" t="n"/>
      <c r="D9" s="111" t="n"/>
      <c r="E9" s="111" t="n"/>
    </row>
    <row r="10" ht="62.45" customFormat="1" customHeight="1" s="141">
      <c r="B10" s="168" t="inlineStr">
        <is>
          <t>Наименование</t>
        </is>
      </c>
      <c r="C10" s="168" t="inlineStr">
        <is>
          <t>Сметная стоимость в ценах на 01.01.2023
 (руб.)</t>
        </is>
      </c>
      <c r="D10" s="168" t="inlineStr">
        <is>
          <t>Удельный вес, 
(в СМР)</t>
        </is>
      </c>
      <c r="E10" s="168" t="inlineStr">
        <is>
          <t>Удельный вес, % 
(от всего по РМ)</t>
        </is>
      </c>
    </row>
    <row r="11" ht="15" customFormat="1" customHeight="1" s="141">
      <c r="B11" s="177" t="inlineStr">
        <is>
          <t>Оплата труда рабочих</t>
        </is>
      </c>
      <c r="C11" s="41">
        <f>'Прил.5 Расчет СМР и ОБ'!J14</f>
        <v/>
      </c>
      <c r="D11" s="42">
        <f>C11/C24</f>
        <v/>
      </c>
      <c r="E11" s="42">
        <f>C11/C40</f>
        <v/>
      </c>
    </row>
    <row r="12" ht="15" customFormat="1" customHeight="1" s="141">
      <c r="B12" s="177" t="inlineStr">
        <is>
          <t>Эксплуатация машин основных</t>
        </is>
      </c>
      <c r="C12" s="41">
        <f>'Прил.5 Расчет СМР и ОБ'!J21</f>
        <v/>
      </c>
      <c r="D12" s="42">
        <f>C12/C24</f>
        <v/>
      </c>
      <c r="E12" s="42">
        <f>C12/C40</f>
        <v/>
      </c>
    </row>
    <row r="13" ht="15" customFormat="1" customHeight="1" s="141">
      <c r="B13" s="177" t="inlineStr">
        <is>
          <t>Эксплуатация машин прочих</t>
        </is>
      </c>
      <c r="C13" s="41">
        <f>'Прил.5 Расчет СМР и ОБ'!J24</f>
        <v/>
      </c>
      <c r="D13" s="42">
        <f>C13/C24</f>
        <v/>
      </c>
      <c r="E13" s="42">
        <f>C13/C40</f>
        <v/>
      </c>
    </row>
    <row r="14" ht="15" customFormat="1" customHeight="1" s="141">
      <c r="B14" s="177" t="inlineStr">
        <is>
          <t>ЭКСПЛУАТАЦИЯ МАШИН, ВСЕГО:</t>
        </is>
      </c>
      <c r="C14" s="41">
        <f>C13+C12</f>
        <v/>
      </c>
      <c r="D14" s="42">
        <f>C14/C24</f>
        <v/>
      </c>
      <c r="E14" s="42">
        <f>C14/C40</f>
        <v/>
      </c>
    </row>
    <row r="15" ht="15" customFormat="1" customHeight="1" s="141">
      <c r="B15" s="177" t="inlineStr">
        <is>
          <t>в том числе зарплата машинистов</t>
        </is>
      </c>
      <c r="C15" s="41">
        <f>'Прил.5 Расчет СМР и ОБ'!J16</f>
        <v/>
      </c>
      <c r="D15" s="42">
        <f>C15/C24</f>
        <v/>
      </c>
      <c r="E15" s="42">
        <f>C15/C40</f>
        <v/>
      </c>
    </row>
    <row r="16" ht="15" customFormat="1" customHeight="1" s="141">
      <c r="B16" s="177" t="inlineStr">
        <is>
          <t>Материалы основные</t>
        </is>
      </c>
      <c r="C16" s="41">
        <f>'Прил.5 Расчет СМР и ОБ'!J34</f>
        <v/>
      </c>
      <c r="D16" s="42">
        <f>C16/C24</f>
        <v/>
      </c>
      <c r="E16" s="42">
        <f>C16/C40</f>
        <v/>
      </c>
    </row>
    <row r="17" ht="15" customFormat="1" customHeight="1" s="141">
      <c r="B17" s="177" t="inlineStr">
        <is>
          <t>Материалы прочие</t>
        </is>
      </c>
      <c r="C17" s="41">
        <f>'Прил.5 Расчет СМР и ОБ'!J49</f>
        <v/>
      </c>
      <c r="D17" s="42">
        <f>C17/C24</f>
        <v/>
      </c>
      <c r="E17" s="42">
        <f>C17/C40</f>
        <v/>
      </c>
    </row>
    <row r="18" ht="15" customFormat="1" customHeight="1" s="141">
      <c r="B18" s="177" t="inlineStr">
        <is>
          <t>МАТЕРИАЛЫ, ВСЕГО:</t>
        </is>
      </c>
      <c r="C18" s="41">
        <f>C17+C16</f>
        <v/>
      </c>
      <c r="D18" s="42">
        <f>C18/C24</f>
        <v/>
      </c>
      <c r="E18" s="42">
        <f>C18/C40</f>
        <v/>
      </c>
    </row>
    <row r="19" ht="15" customFormat="1" customHeight="1" s="141">
      <c r="B19" s="177" t="inlineStr">
        <is>
          <t>ИТОГО</t>
        </is>
      </c>
      <c r="C19" s="41">
        <f>C18+C14+C11</f>
        <v/>
      </c>
      <c r="D19" s="42">
        <f>C19/C24</f>
        <v/>
      </c>
      <c r="E19" s="43">
        <f>C19/C40</f>
        <v/>
      </c>
    </row>
    <row r="20" ht="15" customFormat="1" customHeight="1" s="141">
      <c r="B20" s="177" t="inlineStr">
        <is>
          <t>Сметная прибыль, руб.</t>
        </is>
      </c>
      <c r="C20" s="41">
        <f>'Прил.5 Расчет СМР и ОБ'!J53</f>
        <v/>
      </c>
      <c r="D20" s="42">
        <f>C20/C24</f>
        <v/>
      </c>
      <c r="E20" s="42">
        <f>C20/C40</f>
        <v/>
      </c>
    </row>
    <row r="21" ht="15" customFormat="1" customHeight="1" s="141">
      <c r="B21" s="177" t="inlineStr">
        <is>
          <t>Сметная прибыль, %</t>
        </is>
      </c>
      <c r="C21" s="44">
        <f>C20/(C11+C15)</f>
        <v/>
      </c>
      <c r="D21" s="42" t="n"/>
      <c r="E21" s="43" t="n"/>
    </row>
    <row r="22" ht="15" customFormat="1" customHeight="1" s="141">
      <c r="B22" s="177" t="inlineStr">
        <is>
          <t>Накладные расходы, руб.</t>
        </is>
      </c>
      <c r="C22" s="41">
        <f>'Прил.5 Расчет СМР и ОБ'!J52</f>
        <v/>
      </c>
      <c r="D22" s="42">
        <f>C22/C24</f>
        <v/>
      </c>
      <c r="E22" s="42">
        <f>C22/C40</f>
        <v/>
      </c>
    </row>
    <row r="23" ht="15" customFormat="1" customHeight="1" s="141">
      <c r="B23" s="177" t="inlineStr">
        <is>
          <t>Накладные расходы, %</t>
        </is>
      </c>
      <c r="C23" s="44">
        <f>C22/(C11+C15)</f>
        <v/>
      </c>
      <c r="D23" s="42" t="n"/>
      <c r="E23" s="43" t="n"/>
    </row>
    <row r="24" ht="15" customFormat="1" customHeight="1" s="141">
      <c r="B24" s="177" t="inlineStr">
        <is>
          <t>ВСЕГО СМР с НР и СП</t>
        </is>
      </c>
      <c r="C24" s="41">
        <f>C19+C20+C22</f>
        <v/>
      </c>
      <c r="D24" s="42">
        <f>C24/C24</f>
        <v/>
      </c>
      <c r="E24" s="42">
        <f>C24/C40</f>
        <v/>
      </c>
    </row>
    <row r="25" ht="31.35" customFormat="1" customHeight="1" s="141">
      <c r="B25" s="177" t="inlineStr">
        <is>
          <t>ВСЕГО стоимость оборудования, в том числе</t>
        </is>
      </c>
      <c r="C25" s="41">
        <f>'Прил.5 Расчет СМР и ОБ'!J29</f>
        <v/>
      </c>
      <c r="D25" s="42" t="n"/>
      <c r="E25" s="42">
        <f>C25/C40</f>
        <v/>
      </c>
    </row>
    <row r="26" ht="31.35" customFormat="1" customHeight="1" s="141">
      <c r="B26" s="177" t="inlineStr">
        <is>
          <t>стоимость оборудования технологического</t>
        </is>
      </c>
      <c r="C26" s="41">
        <f>C25</f>
        <v/>
      </c>
      <c r="D26" s="42" t="n"/>
      <c r="E26" s="42">
        <f>C26/C40</f>
        <v/>
      </c>
    </row>
    <row r="27" ht="15" customFormat="1" customHeight="1" s="141">
      <c r="B27" s="177" t="inlineStr">
        <is>
          <t>ИТОГО (СМР + ОБОРУДОВАНИЕ)</t>
        </is>
      </c>
      <c r="C27" s="45">
        <f>C24+C25</f>
        <v/>
      </c>
      <c r="D27" s="42" t="n"/>
      <c r="E27" s="42">
        <f>C27/C40</f>
        <v/>
      </c>
    </row>
    <row r="28" ht="33" customFormat="1" customHeight="1" s="141">
      <c r="B28" s="177" t="inlineStr">
        <is>
          <t>ПРОЧ. ЗАТР., УЧТЕННЫЕ ПОКАЗАТЕЛЕМ,  в том числе</t>
        </is>
      </c>
      <c r="C28" s="177" t="n"/>
      <c r="D28" s="43" t="n"/>
      <c r="E28" s="43" t="n"/>
    </row>
    <row r="29" ht="31.35" customFormat="1" customHeight="1" s="141">
      <c r="B29" s="177" t="inlineStr">
        <is>
          <t>Временные здания и сооружения - 3,9%</t>
        </is>
      </c>
      <c r="C29" s="45">
        <f>ROUND(C24*0.039,2)</f>
        <v/>
      </c>
      <c r="D29" s="43" t="n"/>
      <c r="E29" s="42">
        <f>C29/C40</f>
        <v/>
      </c>
    </row>
    <row r="30" ht="62.45" customFormat="1" customHeight="1" s="141">
      <c r="B30" s="177" t="inlineStr">
        <is>
          <t>Дополнительные затраты при производстве строительно-монтажных работ в зимнее время - 2,1%</t>
        </is>
      </c>
      <c r="C30" s="45">
        <f>ROUND((C24+C29)*0.021,2)</f>
        <v/>
      </c>
      <c r="D30" s="43" t="n"/>
      <c r="E30" s="42">
        <f>C30/C40</f>
        <v/>
      </c>
    </row>
    <row r="31" ht="15.6" customFormat="1" customHeight="1" s="141">
      <c r="B31" s="177" t="inlineStr">
        <is>
          <t>Пусконаладочные работы</t>
        </is>
      </c>
      <c r="C31" s="45" t="n">
        <v>0</v>
      </c>
      <c r="D31" s="43" t="n"/>
      <c r="E31" s="42">
        <f>C31/C40</f>
        <v/>
      </c>
    </row>
    <row r="32" ht="31.35" customFormat="1" customHeight="1" s="141">
      <c r="B32" s="177" t="inlineStr">
        <is>
          <t>Затраты по перевозке работников к месту работы и обратно</t>
        </is>
      </c>
      <c r="C32" s="45" t="n">
        <v>0</v>
      </c>
      <c r="D32" s="43" t="n"/>
      <c r="E32" s="42">
        <f>C32/C40</f>
        <v/>
      </c>
    </row>
    <row r="33" ht="46.9" customFormat="1" customHeight="1" s="141">
      <c r="B33" s="177" t="inlineStr">
        <is>
          <t>Затраты, связанные с осуществлением работ вахтовым методом</t>
        </is>
      </c>
      <c r="C33" s="45" t="n">
        <v>0</v>
      </c>
      <c r="D33" s="43" t="n"/>
      <c r="E33" s="42">
        <f>C33/C40</f>
        <v/>
      </c>
    </row>
    <row r="34" ht="62.45" customFormat="1" customHeight="1" s="141">
      <c r="B34" s="17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45" t="n">
        <v>0</v>
      </c>
      <c r="D34" s="43" t="n"/>
      <c r="E34" s="42">
        <f>C34/C40</f>
        <v/>
      </c>
    </row>
    <row r="35" ht="93.59999999999999" customFormat="1" customHeight="1" s="141">
      <c r="B35" s="17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45" t="n">
        <v>0</v>
      </c>
      <c r="D35" s="43" t="n"/>
      <c r="E35" s="42">
        <f>C35/C40</f>
        <v/>
      </c>
    </row>
    <row r="36" ht="46.9" customFormat="1" customHeight="1" s="141">
      <c r="B36" s="46" t="inlineStr">
        <is>
          <t>Строительный контроль и содержание службы заказчика - 2,14%</t>
        </is>
      </c>
      <c r="C36" s="47">
        <f>ROUND((C27+C29+C31+C30)*0.0214,2)</f>
        <v/>
      </c>
      <c r="D36" s="48" t="n"/>
      <c r="E36" s="49">
        <f>C36/C40</f>
        <v/>
      </c>
      <c r="K36" s="85" t="n"/>
    </row>
    <row r="37" ht="15.6" customFormat="1" customHeight="1" s="141">
      <c r="B37" s="180" t="inlineStr">
        <is>
          <t>Авторский надзор - 0,2%</t>
        </is>
      </c>
      <c r="C37" s="180">
        <f>ROUND((C27+C29+C30+C31)*0.002,2)</f>
        <v/>
      </c>
      <c r="D37" s="52" t="n"/>
      <c r="E37" s="52">
        <f>C37/C40</f>
        <v/>
      </c>
    </row>
    <row r="38" ht="62.45" customFormat="1" customHeight="1" s="141">
      <c r="B38" s="53" t="inlineStr">
        <is>
          <t>ИТОГО (СМР+ОБОРУДОВАНИЕ+ПРОЧ. ЗАТР., УЧТЕННЫЕ ПОКАЗАТЕЛЕМ)</t>
        </is>
      </c>
      <c r="C38" s="54">
        <f>C27+C29+C30+C31+C36+C37</f>
        <v/>
      </c>
      <c r="D38" s="55" t="n"/>
      <c r="E38" s="56">
        <f>C38/C40</f>
        <v/>
      </c>
    </row>
    <row r="39" ht="15.6" customFormat="1" customHeight="1" s="141">
      <c r="B39" s="177" t="inlineStr">
        <is>
          <t>Непредвиденные расходы</t>
        </is>
      </c>
      <c r="C39" s="41">
        <f>ROUND(C38*0.03,2)</f>
        <v/>
      </c>
      <c r="D39" s="43" t="n"/>
      <c r="E39" s="42">
        <f>C39/C40</f>
        <v/>
      </c>
    </row>
    <row r="40" ht="15.6" customFormat="1" customHeight="1" s="141">
      <c r="B40" s="177" t="inlineStr">
        <is>
          <t>ВСЕГО:</t>
        </is>
      </c>
      <c r="C40" s="41">
        <f>C39+C38</f>
        <v/>
      </c>
      <c r="D40" s="43" t="n"/>
      <c r="E40" s="42">
        <f>C40/C40</f>
        <v/>
      </c>
    </row>
    <row r="41" ht="31.35" customFormat="1" customHeight="1" s="141">
      <c r="B41" s="177" t="inlineStr">
        <is>
          <t>ИТОГО ПОКАЗАТЕЛЬ НА ЕД. ИЗМ.</t>
        </is>
      </c>
      <c r="C41" s="41">
        <f>C40/'Прил.5 Расчет СМР и ОБ'!E56</f>
        <v/>
      </c>
      <c r="D41" s="43" t="n"/>
      <c r="E41" s="43" t="n"/>
    </row>
    <row r="42" ht="15.6" customFormat="1" customHeight="1" s="141">
      <c r="B42" s="141" t="n"/>
      <c r="C42" s="141" t="n"/>
      <c r="D42" s="141" t="n"/>
    </row>
    <row r="43" ht="15.6" customFormat="1" customHeight="1" s="141">
      <c r="B43" s="141" t="inlineStr">
        <is>
          <t>Составил ______________________        М.С. Колотиевская</t>
        </is>
      </c>
      <c r="C43" s="141" t="n"/>
      <c r="D43" s="141" t="n"/>
    </row>
    <row r="44" ht="15.6" customFormat="1" customHeight="1" s="141">
      <c r="B44" s="131" t="inlineStr">
        <is>
          <t xml:space="preserve">                         (подпись, инициалы, фамилия)</t>
        </is>
      </c>
      <c r="C44" s="141" t="n"/>
      <c r="D44" s="141" t="n"/>
    </row>
    <row r="45" ht="15.6" customFormat="1" customHeight="1" s="141">
      <c r="B45" s="141" t="n"/>
      <c r="C45" s="141" t="n"/>
      <c r="D45" s="141" t="n"/>
    </row>
    <row r="46" ht="15.6" customFormat="1" customHeight="1" s="141">
      <c r="B46" s="141" t="inlineStr">
        <is>
          <t>Проверил ______________________      А.В. Костянецкая</t>
        </is>
      </c>
      <c r="C46" s="141" t="n"/>
      <c r="D46" s="141" t="n"/>
    </row>
    <row r="47" ht="15.6" customFormat="1" customHeight="1" s="141">
      <c r="B47" s="131" t="inlineStr">
        <is>
          <t xml:space="preserve">                        (подпись, инициалы, фамилия)</t>
        </is>
      </c>
      <c r="C47" s="141" t="n"/>
      <c r="D47" s="141" t="n"/>
    </row>
    <row r="48" ht="15.6" customFormat="1" customHeight="1" s="141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63"/>
  <sheetViews>
    <sheetView view="pageBreakPreview" zoomScale="85" zoomScaleSheetLayoutView="85" workbookViewId="0">
      <selection activeCell="I184" sqref="I184"/>
    </sheetView>
  </sheetViews>
  <sheetFormatPr baseColWidth="8" defaultColWidth="9.140625" defaultRowHeight="15" outlineLevelRow="1"/>
  <cols>
    <col width="5.5703125" customWidth="1" style="58" min="1" max="1"/>
    <col width="22.42578125" customWidth="1" style="58" min="2" max="2"/>
    <col width="39.140625" customWidth="1" style="58" min="3" max="3"/>
    <col width="10.5703125" customWidth="1" style="58" min="4" max="4"/>
    <col width="12.5703125" customWidth="1" style="58" min="5" max="5"/>
    <col width="14.42578125" customWidth="1" style="58" min="6" max="6"/>
    <col width="16.42578125" customWidth="1" style="58" min="7" max="7"/>
    <col width="12.5703125" customWidth="1" style="58" min="8" max="8"/>
    <col width="14.42578125" customWidth="1" style="58" min="9" max="9"/>
    <col width="15.140625" customWidth="1" style="58" min="10" max="10"/>
    <col width="22.42578125" customWidth="1" style="58" min="11" max="11"/>
    <col width="16.42578125" customWidth="1" style="58" min="12" max="12"/>
    <col width="10.85546875" customWidth="1" style="58" min="13" max="13"/>
    <col width="9.140625" customWidth="1" style="58" min="14" max="14"/>
    <col width="9.140625" customWidth="1" style="139" min="15" max="15"/>
  </cols>
  <sheetData>
    <row r="1">
      <c r="A1" s="111" t="n"/>
    </row>
    <row r="2" ht="15.6" customHeight="1" s="139">
      <c r="A2" s="141" t="n"/>
      <c r="B2" s="141" t="n"/>
      <c r="C2" s="141" t="n"/>
      <c r="D2" s="141" t="n"/>
      <c r="E2" s="141" t="n"/>
      <c r="F2" s="141" t="n"/>
      <c r="G2" s="141" t="n"/>
      <c r="H2" s="174" t="inlineStr">
        <is>
          <t>Приложение №5</t>
        </is>
      </c>
    </row>
    <row r="3" ht="15.6" customHeight="1" s="139">
      <c r="A3" s="141" t="n"/>
      <c r="B3" s="141" t="n"/>
      <c r="C3" s="141" t="n"/>
      <c r="D3" s="141" t="n"/>
      <c r="E3" s="141" t="n"/>
      <c r="F3" s="141" t="n"/>
      <c r="G3" s="141" t="n"/>
      <c r="H3" s="141" t="n"/>
      <c r="I3" s="141" t="n"/>
      <c r="J3" s="141" t="n"/>
    </row>
    <row r="4" ht="15.6" customFormat="1" customHeight="1" s="111">
      <c r="A4" s="167" t="inlineStr">
        <is>
          <t>Расчет стоимости СМР и оборудования</t>
        </is>
      </c>
      <c r="I4" s="167" t="n"/>
      <c r="J4" s="167" t="n"/>
    </row>
    <row r="5" ht="15.6" customFormat="1" customHeight="1" s="111">
      <c r="A5" s="167" t="n"/>
      <c r="B5" s="167" t="n"/>
      <c r="C5" s="167" t="n"/>
      <c r="D5" s="167" t="n"/>
      <c r="E5" s="167" t="n"/>
      <c r="F5" s="167" t="n"/>
      <c r="G5" s="167" t="n"/>
      <c r="H5" s="167" t="n"/>
      <c r="I5" s="167" t="n"/>
      <c r="J5" s="167" t="n"/>
    </row>
    <row r="6" ht="15.6" customFormat="1" customHeight="1" s="111">
      <c r="A6" s="90" t="inlineStr">
        <is>
          <t xml:space="preserve">Наименование разрабатываемого показателя УНЦ — </t>
        </is>
      </c>
      <c r="B6" s="90" t="n"/>
      <c r="C6" s="90" t="n"/>
      <c r="D6" s="90" t="inlineStr">
        <is>
          <t xml:space="preserve"> Токопровод с литой изоляцией 35 кВ, 630 А</t>
        </is>
      </c>
      <c r="E6" s="90" t="n"/>
      <c r="F6" s="90" t="n"/>
      <c r="G6" s="90" t="n"/>
      <c r="H6" s="90" t="n"/>
      <c r="I6" s="91" t="n"/>
      <c r="J6" s="91" t="n"/>
    </row>
    <row r="7" ht="15.6" customFormat="1" customHeight="1" s="111">
      <c r="A7" s="175" t="inlineStr">
        <is>
          <t>Единица измерения  — 1 м</t>
        </is>
      </c>
      <c r="I7" s="176" t="n"/>
      <c r="J7" s="176" t="n"/>
    </row>
    <row r="8" ht="15.6" customFormat="1" customHeight="1" s="111">
      <c r="A8" s="141" t="n"/>
      <c r="B8" s="141" t="n"/>
      <c r="C8" s="141" t="n"/>
      <c r="D8" s="141" t="n"/>
      <c r="E8" s="141" t="n"/>
      <c r="F8" s="141" t="n"/>
      <c r="G8" s="141" t="n"/>
      <c r="H8" s="141" t="n"/>
      <c r="I8" s="141" t="n"/>
      <c r="J8" s="141" t="n"/>
    </row>
    <row r="9" ht="27" customFormat="1" customHeight="1" s="141">
      <c r="A9" s="177" t="inlineStr">
        <is>
          <t>№ пп.</t>
        </is>
      </c>
      <c r="B9" s="168" t="inlineStr">
        <is>
          <t>Код ресурса</t>
        </is>
      </c>
      <c r="C9" s="168" t="inlineStr">
        <is>
          <t>Наименование</t>
        </is>
      </c>
      <c r="D9" s="168" t="inlineStr">
        <is>
          <t>Ед. изм.</t>
        </is>
      </c>
      <c r="E9" s="168" t="inlineStr">
        <is>
          <t>Кол-во единиц по проектным данным</t>
        </is>
      </c>
      <c r="F9" s="168" t="inlineStr">
        <is>
          <t>Сметная стоимость в ценах на 01.01.2000 (руб.)</t>
        </is>
      </c>
      <c r="G9" s="194" t="n"/>
      <c r="H9" s="168" t="inlineStr">
        <is>
          <t>Удельный вес, %</t>
        </is>
      </c>
      <c r="I9" s="168" t="inlineStr">
        <is>
          <t>Сметная стоимость в ценах на 01.01.2023 (руб.)</t>
        </is>
      </c>
      <c r="J9" s="194" t="n"/>
      <c r="K9" s="63" t="n"/>
    </row>
    <row r="10" ht="28.5" customFormat="1" customHeight="1" s="141">
      <c r="A10" s="196" t="n"/>
      <c r="B10" s="196" t="n"/>
      <c r="C10" s="196" t="n"/>
      <c r="D10" s="196" t="n"/>
      <c r="E10" s="196" t="n"/>
      <c r="F10" s="168" t="inlineStr">
        <is>
          <t>на ед. изм.</t>
        </is>
      </c>
      <c r="G10" s="168" t="inlineStr">
        <is>
          <t>общая</t>
        </is>
      </c>
      <c r="H10" s="196" t="n"/>
      <c r="I10" s="168" t="inlineStr">
        <is>
          <t>на ед. изм.</t>
        </is>
      </c>
      <c r="J10" s="168" t="inlineStr">
        <is>
          <t>общая</t>
        </is>
      </c>
    </row>
    <row r="11" ht="15.6" customFormat="1" customHeight="1" s="141">
      <c r="A11" s="177" t="n">
        <v>1</v>
      </c>
      <c r="B11" s="168" t="n">
        <v>2</v>
      </c>
      <c r="C11" s="168" t="n">
        <v>3</v>
      </c>
      <c r="D11" s="168" t="n">
        <v>4</v>
      </c>
      <c r="E11" s="168" t="n">
        <v>5</v>
      </c>
      <c r="F11" s="168" t="n">
        <v>6</v>
      </c>
      <c r="G11" s="168" t="n">
        <v>7</v>
      </c>
      <c r="H11" s="168" t="n">
        <v>8</v>
      </c>
      <c r="I11" s="168" t="n">
        <v>9</v>
      </c>
      <c r="J11" s="168" t="n">
        <v>10</v>
      </c>
    </row>
    <row r="12" ht="15.6" customFormat="1" customHeight="1" s="141">
      <c r="A12" s="180" t="n"/>
      <c r="B12" s="178" t="inlineStr">
        <is>
          <t>Затраты труда рабочих-строителей</t>
        </is>
      </c>
      <c r="C12" s="193" t="n"/>
      <c r="D12" s="193" t="n"/>
      <c r="E12" s="193" t="n"/>
      <c r="F12" s="193" t="n"/>
      <c r="G12" s="193" t="n"/>
      <c r="H12" s="194" t="n"/>
      <c r="I12" s="180" t="n"/>
      <c r="J12" s="180" t="n"/>
    </row>
    <row r="13" ht="31.35" customFormat="1" customHeight="1" s="141">
      <c r="A13" s="171" t="n">
        <v>1</v>
      </c>
      <c r="B13" s="182" t="inlineStr">
        <is>
          <t>1-4-0</t>
        </is>
      </c>
      <c r="C13" s="172" t="inlineStr">
        <is>
          <t>Затраты труда рабочих (Средний разряд работы 4,0)</t>
        </is>
      </c>
      <c r="D13" s="171" t="inlineStr">
        <is>
          <t>чел.-ч</t>
        </is>
      </c>
      <c r="E13" s="171">
        <f>G13/F13</f>
        <v/>
      </c>
      <c r="F13" s="173" t="n">
        <v>9.619999999999999</v>
      </c>
      <c r="G13" s="173">
        <f>Прил.3!H12</f>
        <v/>
      </c>
      <c r="H13" s="71" t="n">
        <v>1</v>
      </c>
      <c r="I13" s="173">
        <f>ФОТр.тек.!E13</f>
        <v/>
      </c>
      <c r="J13" s="173">
        <f>ROUND(I13*E13,2)</f>
        <v/>
      </c>
    </row>
    <row r="14" ht="31.35" customFormat="1" customHeight="1" s="141">
      <c r="A14" s="171" t="n"/>
      <c r="B14" s="171" t="n"/>
      <c r="C14" s="172" t="inlineStr">
        <is>
          <t>Итого по разделу "Затраты труда рабочих-строителей"</t>
        </is>
      </c>
      <c r="D14" s="171" t="inlineStr">
        <is>
          <t>чел.-ч</t>
        </is>
      </c>
      <c r="E14" s="171">
        <f>SUM(E13)</f>
        <v/>
      </c>
      <c r="F14" s="173" t="n"/>
      <c r="G14" s="173">
        <f>SUM(G13)</f>
        <v/>
      </c>
      <c r="H14" s="71">
        <f>SUM(H13)</f>
        <v/>
      </c>
      <c r="I14" s="173" t="n"/>
      <c r="J14" s="173">
        <f>SUM(J13)</f>
        <v/>
      </c>
    </row>
    <row r="15" ht="15.6" customFormat="1" customHeight="1" s="141">
      <c r="A15" s="171" t="n"/>
      <c r="B15" s="171" t="inlineStr">
        <is>
          <t>Затраты труда машинистов</t>
        </is>
      </c>
      <c r="C15" s="193" t="n"/>
      <c r="D15" s="193" t="n"/>
      <c r="E15" s="193" t="n"/>
      <c r="F15" s="193" t="n"/>
      <c r="G15" s="193" t="n"/>
      <c r="H15" s="194" t="n"/>
      <c r="I15" s="173" t="n"/>
      <c r="J15" s="173" t="n"/>
    </row>
    <row r="16" ht="15.6" customFormat="1" customHeight="1" s="141">
      <c r="A16" s="171" t="n">
        <v>2</v>
      </c>
      <c r="B16" s="171" t="n">
        <v>2</v>
      </c>
      <c r="C16" s="172" t="inlineStr">
        <is>
          <t>Затраты труда машинистов</t>
        </is>
      </c>
      <c r="D16" s="171" t="inlineStr">
        <is>
          <t>чел.-ч</t>
        </is>
      </c>
      <c r="E16" s="171">
        <f>Прил.3!F15</f>
        <v/>
      </c>
      <c r="F16" s="173">
        <f>G16/E16</f>
        <v/>
      </c>
      <c r="G16" s="173">
        <f>Прил.3!H15</f>
        <v/>
      </c>
      <c r="H16" s="71" t="n">
        <v>1</v>
      </c>
      <c r="I16" s="173">
        <f>ROUND(F16*Прил.10!D10,2)</f>
        <v/>
      </c>
      <c r="J16" s="173">
        <f>ROUND(I16*E16,2)</f>
        <v/>
      </c>
    </row>
    <row r="17" ht="15.6" customFormat="1" customHeight="1" s="141">
      <c r="A17" s="171" t="n"/>
      <c r="B17" s="170" t="inlineStr">
        <is>
          <t>Машины и механизмы</t>
        </is>
      </c>
      <c r="C17" s="193" t="n"/>
      <c r="D17" s="193" t="n"/>
      <c r="E17" s="193" t="n"/>
      <c r="F17" s="193" t="n"/>
      <c r="G17" s="193" t="n"/>
      <c r="H17" s="194" t="n"/>
      <c r="I17" s="173" t="n"/>
      <c r="J17" s="173" t="n"/>
    </row>
    <row r="18" ht="15.6" customFormat="1" customHeight="1" s="141">
      <c r="A18" s="171" t="n"/>
      <c r="B18" s="171" t="inlineStr">
        <is>
          <t>Основные Машины и механизмы</t>
        </is>
      </c>
      <c r="C18" s="193" t="n"/>
      <c r="D18" s="193" t="n"/>
      <c r="E18" s="193" t="n"/>
      <c r="F18" s="193" t="n"/>
      <c r="G18" s="193" t="n"/>
      <c r="H18" s="194" t="n"/>
      <c r="I18" s="173" t="n"/>
      <c r="J18" s="173" t="n"/>
    </row>
    <row r="19" ht="31.35" customFormat="1" customHeight="1" s="141">
      <c r="A19" s="171" t="n">
        <v>3</v>
      </c>
      <c r="B19" s="182" t="inlineStr">
        <is>
          <t>91.06.03-058</t>
        </is>
      </c>
      <c r="C19" s="185" t="inlineStr">
        <is>
          <t>Лебедки электрические тяговым усилием 156,96 кН (16 т)</t>
        </is>
      </c>
      <c r="D19" s="188" t="inlineStr">
        <is>
          <t>маш.час</t>
        </is>
      </c>
      <c r="E19" s="186" t="n">
        <v>2452.5</v>
      </c>
      <c r="F19" s="73" t="n">
        <v>131.44</v>
      </c>
      <c r="G19" s="173">
        <f>ROUND(E19*F19,2)</f>
        <v/>
      </c>
      <c r="H19" s="71">
        <f>G19/$G$25</f>
        <v/>
      </c>
      <c r="I19" s="173">
        <f>ROUND(F19*13.47,2)</f>
        <v/>
      </c>
      <c r="J19" s="173">
        <f>ROUND(I19*E19,2)</f>
        <v/>
      </c>
    </row>
    <row r="20" ht="31.35" customFormat="1" customHeight="1" s="141">
      <c r="A20" s="171" t="n">
        <v>4</v>
      </c>
      <c r="B20" s="182" t="inlineStr">
        <is>
          <t>91.05.05-015</t>
        </is>
      </c>
      <c r="C20" s="185" t="inlineStr">
        <is>
          <t>Краны на автомобильном ходу, грузоподъемность 16 т</t>
        </is>
      </c>
      <c r="D20" s="188" t="inlineStr">
        <is>
          <t>маш.час</t>
        </is>
      </c>
      <c r="E20" s="186" t="n">
        <v>1747.5</v>
      </c>
      <c r="F20" s="73" t="n">
        <v>115.4</v>
      </c>
      <c r="G20" s="173">
        <f>ROUND(E20*F20,2)</f>
        <v/>
      </c>
      <c r="H20" s="71">
        <f>G20/$G$25</f>
        <v/>
      </c>
      <c r="I20" s="173">
        <f>ROUND(F20*13.47,2)</f>
        <v/>
      </c>
      <c r="J20" s="173">
        <f>ROUND(I20*E20,2)</f>
        <v/>
      </c>
    </row>
    <row r="21" ht="15.6" customFormat="1" customHeight="1" s="141">
      <c r="A21" s="171" t="n"/>
      <c r="B21" s="182" t="inlineStr">
        <is>
          <t>Итого основные Машины и механизмы</t>
        </is>
      </c>
      <c r="C21" s="193" t="n"/>
      <c r="D21" s="193" t="n"/>
      <c r="E21" s="193" t="n"/>
      <c r="F21" s="194" t="n"/>
      <c r="G21" s="73">
        <f>SUM(G19:G20)</f>
        <v/>
      </c>
      <c r="H21" s="71">
        <f>SUM(H19:H20)</f>
        <v/>
      </c>
      <c r="I21" s="173" t="n"/>
      <c r="J21" s="173">
        <f>SUM(J19:J20)</f>
        <v/>
      </c>
    </row>
    <row r="22" hidden="1" outlineLevel="1" ht="31.35" customFormat="1" customHeight="1" s="141">
      <c r="A22" s="171" t="n">
        <v>5</v>
      </c>
      <c r="B22" s="182" t="inlineStr">
        <is>
          <t>91.14.02-001</t>
        </is>
      </c>
      <c r="C22" s="185" t="inlineStr">
        <is>
          <t>Автомобили бортовые, грузоподъемность до 5 т</t>
        </is>
      </c>
      <c r="D22" s="188" t="inlineStr">
        <is>
          <t>маш.час</t>
        </is>
      </c>
      <c r="E22" s="186" t="n">
        <v>352.5</v>
      </c>
      <c r="F22" s="73" t="n">
        <v>65.70999999999999</v>
      </c>
      <c r="G22" s="173">
        <f>ROUND(E22*F22,2)</f>
        <v/>
      </c>
      <c r="H22" s="71">
        <f>G22/$G$25</f>
        <v/>
      </c>
      <c r="I22" s="173">
        <f>ROUND(F22*13.47,2)</f>
        <v/>
      </c>
      <c r="J22" s="173">
        <f>ROUND(I22*E22,2)</f>
        <v/>
      </c>
    </row>
    <row r="23" hidden="1" outlineLevel="1" ht="46.9" customFormat="1" customHeight="1" s="141">
      <c r="A23" s="171" t="n">
        <v>6</v>
      </c>
      <c r="B23" s="182" t="inlineStr">
        <is>
          <t>91.17.04-161</t>
        </is>
      </c>
      <c r="C23" s="185" t="inlineStr">
        <is>
          <t>Полуавтоматы сварочные номинальным сварочным током 40-500 А</t>
        </is>
      </c>
      <c r="D23" s="188" t="inlineStr">
        <is>
          <t>маш.час</t>
        </is>
      </c>
      <c r="E23" s="186" t="n">
        <v>502.5</v>
      </c>
      <c r="F23" s="73" t="n">
        <v>16.44</v>
      </c>
      <c r="G23" s="173">
        <f>ROUND(E23*F23,2)</f>
        <v/>
      </c>
      <c r="H23" s="71">
        <f>G23/$G$25</f>
        <v/>
      </c>
      <c r="I23" s="173">
        <f>ROUND(F23*13.47,2)</f>
        <v/>
      </c>
      <c r="J23" s="173">
        <f>ROUND(I23*E23,2)</f>
        <v/>
      </c>
    </row>
    <row r="24" collapsed="1" ht="15.6" customFormat="1" customHeight="1" s="141">
      <c r="A24" s="171" t="n"/>
      <c r="B24" s="171" t="inlineStr">
        <is>
          <t>Итого прочие Машины и механизмы</t>
        </is>
      </c>
      <c r="C24" s="193" t="n"/>
      <c r="D24" s="193" t="n"/>
      <c r="E24" s="193" t="n"/>
      <c r="F24" s="194" t="n"/>
      <c r="G24" s="173">
        <f>SUM(G22:G23)</f>
        <v/>
      </c>
      <c r="H24" s="71">
        <f>SUM(H22:H23)</f>
        <v/>
      </c>
      <c r="I24" s="173" t="n"/>
      <c r="J24" s="173">
        <f>SUM(J22:J23)</f>
        <v/>
      </c>
    </row>
    <row r="25" ht="15.6" customFormat="1" customHeight="1" s="141">
      <c r="A25" s="171" t="n"/>
      <c r="B25" s="171" t="inlineStr">
        <is>
          <t>Итого по разделу "Машины и механизмы"</t>
        </is>
      </c>
      <c r="C25" s="193" t="n"/>
      <c r="D25" s="193" t="n"/>
      <c r="E25" s="193" t="n"/>
      <c r="F25" s="194" t="n"/>
      <c r="G25" s="173">
        <f>G21+G24</f>
        <v/>
      </c>
      <c r="H25" s="71">
        <f>H21+H24</f>
        <v/>
      </c>
      <c r="I25" s="173" t="n"/>
      <c r="J25" s="173">
        <f>J21+J24</f>
        <v/>
      </c>
    </row>
    <row r="26" ht="15.6" customFormat="1" customHeight="1" s="141">
      <c r="A26" s="180" t="n"/>
      <c r="B26" s="178" t="inlineStr">
        <is>
          <t>Оборудование</t>
        </is>
      </c>
      <c r="C26" s="193" t="n"/>
      <c r="D26" s="193" t="n"/>
      <c r="E26" s="193" t="n"/>
      <c r="F26" s="193" t="n"/>
      <c r="G26" s="193" t="n"/>
      <c r="H26" s="193" t="n"/>
      <c r="I26" s="193" t="n"/>
      <c r="J26" s="194" t="n"/>
    </row>
    <row r="27" ht="15.6" customFormat="1" customHeight="1" s="141">
      <c r="A27" s="180" t="n"/>
      <c r="B27" s="180" t="inlineStr">
        <is>
          <t>Основное оборудование</t>
        </is>
      </c>
      <c r="C27" s="193" t="n"/>
      <c r="D27" s="193" t="n"/>
      <c r="E27" s="193" t="n"/>
      <c r="F27" s="193" t="n"/>
      <c r="G27" s="193" t="n"/>
      <c r="H27" s="193" t="n"/>
      <c r="I27" s="193" t="n"/>
      <c r="J27" s="194" t="n"/>
    </row>
    <row r="28" ht="15.6" customFormat="1" customHeight="1" s="141">
      <c r="A28" s="172" t="n"/>
      <c r="B28" s="182" t="n"/>
      <c r="C28" s="185" t="inlineStr">
        <is>
          <t>Итого основное оборудование</t>
        </is>
      </c>
      <c r="D28" s="188" t="n"/>
      <c r="E28" s="186" t="n"/>
      <c r="F28" s="73" t="n"/>
      <c r="G28" s="187" t="n">
        <v>0</v>
      </c>
      <c r="H28" s="71" t="n">
        <v>0</v>
      </c>
      <c r="I28" s="173" t="n"/>
      <c r="J28" s="173" t="n">
        <v>0</v>
      </c>
    </row>
    <row r="29" ht="15.6" customFormat="1" customHeight="1" s="141">
      <c r="A29" s="180" t="n"/>
      <c r="B29" s="180" t="n"/>
      <c r="C29" s="180" t="inlineStr">
        <is>
          <t>Итого по разделу «Оборудование»</t>
        </is>
      </c>
      <c r="D29" s="180" t="n"/>
      <c r="E29" s="180" t="n"/>
      <c r="F29" s="184" t="n"/>
      <c r="G29" s="184">
        <f>G28</f>
        <v/>
      </c>
      <c r="H29" s="76">
        <f>H28</f>
        <v/>
      </c>
      <c r="I29" s="184" t="n"/>
      <c r="J29" s="184">
        <f>J28</f>
        <v/>
      </c>
    </row>
    <row r="30" ht="15.6" customFormat="1" customHeight="1" s="141">
      <c r="A30" s="180" t="n"/>
      <c r="B30" s="180" t="n"/>
      <c r="C30" s="180" t="inlineStr">
        <is>
          <t>в том числе технологическое оборудование</t>
        </is>
      </c>
      <c r="D30" s="180" t="n"/>
      <c r="E30" s="180" t="n"/>
      <c r="F30" s="184" t="n"/>
      <c r="G30" s="184">
        <f>G29</f>
        <v/>
      </c>
      <c r="H30" s="76">
        <f>H29</f>
        <v/>
      </c>
      <c r="I30" s="184" t="n"/>
      <c r="J30" s="184">
        <f>J29</f>
        <v/>
      </c>
    </row>
    <row r="31" ht="15.6" customFormat="1" customHeight="1" s="141">
      <c r="A31" s="171" t="n"/>
      <c r="B31" s="170" t="inlineStr">
        <is>
          <t>Материалы</t>
        </is>
      </c>
      <c r="C31" s="193" t="n"/>
      <c r="D31" s="193" t="n"/>
      <c r="E31" s="193" t="n"/>
      <c r="F31" s="193" t="n"/>
      <c r="G31" s="193" t="n"/>
      <c r="H31" s="194" t="n"/>
      <c r="I31" s="173" t="n"/>
      <c r="J31" s="173" t="n"/>
    </row>
    <row r="32" ht="15.6" customFormat="1" customHeight="1" s="141">
      <c r="A32" s="171" t="n"/>
      <c r="B32" s="171" t="inlineStr">
        <is>
          <t>Основные Материалы</t>
        </is>
      </c>
      <c r="C32" s="193" t="n"/>
      <c r="D32" s="193" t="n"/>
      <c r="E32" s="193" t="n"/>
      <c r="F32" s="193" t="n"/>
      <c r="G32" s="193" t="n"/>
      <c r="H32" s="194" t="n"/>
      <c r="I32" s="173" t="n"/>
      <c r="J32" s="173" t="n"/>
    </row>
    <row r="33" ht="31.35" customFormat="1" customHeight="1" s="141">
      <c r="A33" s="172" t="n">
        <v>7</v>
      </c>
      <c r="B33" s="172" t="inlineStr">
        <is>
          <t>БЦ.57.53</t>
        </is>
      </c>
      <c r="C33" s="185" t="inlineStr">
        <is>
          <t xml:space="preserve">Малогабаритный трехфазный литой токопровод 35 кВ, Iн= 630 А  </t>
        </is>
      </c>
      <c r="D33" s="188" t="inlineStr">
        <is>
          <t>м</t>
        </is>
      </c>
      <c r="E33" s="186" t="n">
        <v>250</v>
      </c>
      <c r="F33" s="73">
        <f>ROUND(I33/Прил.10!$D$12,2)</f>
        <v/>
      </c>
      <c r="G33" s="173">
        <f>ROUND(E33*F33,2)</f>
        <v/>
      </c>
      <c r="H33" s="71">
        <f>G33/$G$50</f>
        <v/>
      </c>
      <c r="I33" s="173" t="n">
        <v>297169.81</v>
      </c>
      <c r="J33" s="173">
        <f>ROUND(I33*E33,2)</f>
        <v/>
      </c>
    </row>
    <row r="34" ht="15.6" customFormat="1" customHeight="1" s="141">
      <c r="A34" s="171" t="n"/>
      <c r="B34" s="182" t="inlineStr">
        <is>
          <t>Итого основные Материалы</t>
        </is>
      </c>
      <c r="C34" s="193" t="n"/>
      <c r="D34" s="193" t="n"/>
      <c r="E34" s="193" t="n"/>
      <c r="F34" s="194" t="n"/>
      <c r="G34" s="73">
        <f>G33</f>
        <v/>
      </c>
      <c r="H34" s="71">
        <f>G34/$G$50</f>
        <v/>
      </c>
      <c r="I34" s="173" t="n"/>
      <c r="J34" s="173">
        <f>J33</f>
        <v/>
      </c>
    </row>
    <row r="35" ht="15.6" customFormat="1" customHeight="1" s="141">
      <c r="A35" s="171" t="n">
        <v>8</v>
      </c>
      <c r="B35" s="182" t="inlineStr">
        <is>
          <t>01.1.02.01-0003</t>
        </is>
      </c>
      <c r="C35" s="185" t="inlineStr">
        <is>
          <t>Асботекстолит, марка Г</t>
        </is>
      </c>
      <c r="D35" s="188" t="inlineStr">
        <is>
          <t>т</t>
        </is>
      </c>
      <c r="E35" s="186" t="n">
        <v>0.1275</v>
      </c>
      <c r="F35" s="73" t="n">
        <v>161000</v>
      </c>
      <c r="G35" s="173">
        <f>ROUND(E35*F35,2)</f>
        <v/>
      </c>
      <c r="H35" s="71">
        <f>G35/$G$50</f>
        <v/>
      </c>
      <c r="I35" s="173">
        <f>ROUND(F35*Прил.10!$D$12,2)</f>
        <v/>
      </c>
      <c r="J35" s="173">
        <f>ROUND(I35*E35,2)</f>
        <v/>
      </c>
    </row>
    <row r="36" ht="15.6" customFormat="1" customHeight="1" s="141">
      <c r="A36" s="171" t="n">
        <v>9</v>
      </c>
      <c r="B36" s="182" t="inlineStr">
        <is>
          <t>01.3.02.02-0001</t>
        </is>
      </c>
      <c r="C36" s="185" t="inlineStr">
        <is>
          <t>Аргон газообразный, сорт I</t>
        </is>
      </c>
      <c r="D36" s="188" t="inlineStr">
        <is>
          <t>м3</t>
        </is>
      </c>
      <c r="E36" s="186" t="n">
        <v>607.5</v>
      </c>
      <c r="F36" s="73" t="n">
        <v>17.86</v>
      </c>
      <c r="G36" s="173">
        <f>ROUND(E36*F36,2)</f>
        <v/>
      </c>
      <c r="H36" s="71">
        <f>G36/$G$50</f>
        <v/>
      </c>
      <c r="I36" s="173">
        <f>ROUND(F36*Прил.10!$D$12,2)</f>
        <v/>
      </c>
      <c r="J36" s="173">
        <f>ROUND(I36*E36,2)</f>
        <v/>
      </c>
    </row>
    <row r="37" ht="31.35" customFormat="1" customHeight="1" s="141">
      <c r="A37" s="171" t="n">
        <v>10</v>
      </c>
      <c r="B37" s="182" t="inlineStr">
        <is>
          <t>01.7.11.04-0002</t>
        </is>
      </c>
      <c r="C37" s="185" t="inlineStr">
        <is>
          <t>Проволока наплавочная ПП-Нп-19СТ, диаметр 3 мм</t>
        </is>
      </c>
      <c r="D37" s="188" t="inlineStr">
        <is>
          <t>т</t>
        </is>
      </c>
      <c r="E37" s="186" t="n">
        <v>0.435</v>
      </c>
      <c r="F37" s="73" t="n">
        <v>20300</v>
      </c>
      <c r="G37" s="173">
        <f>ROUND(E37*F37,2)</f>
        <v/>
      </c>
      <c r="H37" s="71">
        <f>G37/$G$50</f>
        <v/>
      </c>
      <c r="I37" s="173">
        <f>ROUND(F37*Прил.10!$D$12,2)</f>
        <v/>
      </c>
      <c r="J37" s="173">
        <f>ROUND(I37*E37,2)</f>
        <v/>
      </c>
    </row>
    <row r="38" ht="15.6" customFormat="1" customHeight="1" s="141">
      <c r="A38" s="171" t="n">
        <v>11</v>
      </c>
      <c r="B38" s="182" t="inlineStr">
        <is>
          <t>01.3.02.03-0001</t>
        </is>
      </c>
      <c r="C38" s="185" t="inlineStr">
        <is>
          <t>Ацетилен газообразный технический</t>
        </is>
      </c>
      <c r="D38" s="188" t="inlineStr">
        <is>
          <t>м3</t>
        </is>
      </c>
      <c r="E38" s="186" t="n">
        <v>82.5</v>
      </c>
      <c r="F38" s="73" t="n">
        <v>38.51</v>
      </c>
      <c r="G38" s="173">
        <f>ROUND(E38*F38,2)</f>
        <v/>
      </c>
      <c r="H38" s="71">
        <f>G38/$G$50</f>
        <v/>
      </c>
      <c r="I38" s="173">
        <f>ROUND(F38*Прил.10!$D$12,2)</f>
        <v/>
      </c>
      <c r="J38" s="173">
        <f>ROUND(I38*E38,2)</f>
        <v/>
      </c>
    </row>
    <row r="39" ht="31.35" customFormat="1" customHeight="1" s="141">
      <c r="A39" s="171" t="n">
        <v>12</v>
      </c>
      <c r="B39" s="182" t="inlineStr">
        <is>
          <t>01.7.02.06-0017</t>
        </is>
      </c>
      <c r="C39" s="185" t="inlineStr">
        <is>
          <t>Картон строительный прокладочный, марка Б</t>
        </is>
      </c>
      <c r="D39" s="188" t="inlineStr">
        <is>
          <t>т</t>
        </is>
      </c>
      <c r="E39" s="186" t="n">
        <v>0.15</v>
      </c>
      <c r="F39" s="73" t="n">
        <v>19800</v>
      </c>
      <c r="G39" s="173">
        <f>ROUND(E39*F39,2)</f>
        <v/>
      </c>
      <c r="H39" s="71">
        <f>G39/$G$50</f>
        <v/>
      </c>
      <c r="I39" s="173">
        <f>ROUND(F39*Прил.10!$D$12,2)</f>
        <v/>
      </c>
      <c r="J39" s="173">
        <f>ROUND(I39*E39,2)</f>
        <v/>
      </c>
    </row>
    <row r="40" ht="31.35" customFormat="1" customHeight="1" s="141">
      <c r="A40" s="171" t="n">
        <v>13</v>
      </c>
      <c r="B40" s="182" t="inlineStr">
        <is>
          <t>01.7.19.04-0031</t>
        </is>
      </c>
      <c r="C40" s="185" t="inlineStr">
        <is>
          <t>Прокладки резиновые (пластина техническая прессованная)</t>
        </is>
      </c>
      <c r="D40" s="188" t="inlineStr">
        <is>
          <t>кг</t>
        </is>
      </c>
      <c r="E40" s="186" t="n">
        <v>93.75</v>
      </c>
      <c r="F40" s="73" t="n">
        <v>23.09</v>
      </c>
      <c r="G40" s="173">
        <f>ROUND(E40*F40,2)</f>
        <v/>
      </c>
      <c r="H40" s="71">
        <f>G40/$G$50</f>
        <v/>
      </c>
      <c r="I40" s="173">
        <f>ROUND(F40*Прил.10!$D$12,2)</f>
        <v/>
      </c>
      <c r="J40" s="173">
        <f>ROUND(I40*E40,2)</f>
        <v/>
      </c>
    </row>
    <row r="41" ht="15.6" customFormat="1" customHeight="1" s="141">
      <c r="A41" s="171" t="n">
        <v>14</v>
      </c>
      <c r="B41" s="182" t="inlineStr">
        <is>
          <t>14.4.02.09-0001</t>
        </is>
      </c>
      <c r="C41" s="185" t="inlineStr">
        <is>
          <t>Краска</t>
        </is>
      </c>
      <c r="D41" s="188" t="inlineStr">
        <is>
          <t>кг</t>
        </is>
      </c>
      <c r="E41" s="186" t="n">
        <v>75</v>
      </c>
      <c r="F41" s="73" t="n">
        <v>28.6</v>
      </c>
      <c r="G41" s="173">
        <f>ROUND(E41*F41,2)</f>
        <v/>
      </c>
      <c r="H41" s="71">
        <f>G41/$G$50</f>
        <v/>
      </c>
      <c r="I41" s="173">
        <f>ROUND(F41*Прил.10!$D$12,2)</f>
        <v/>
      </c>
      <c r="J41" s="173">
        <f>ROUND(I41*E41,2)</f>
        <v/>
      </c>
    </row>
    <row r="42" hidden="1" outlineLevel="1" ht="15.6" customFormat="1" customHeight="1" s="141">
      <c r="A42" s="171" t="n">
        <v>15</v>
      </c>
      <c r="B42" s="182" t="inlineStr">
        <is>
          <t>07.2.07.13-0171</t>
        </is>
      </c>
      <c r="C42" s="185" t="inlineStr">
        <is>
          <t>Подкладки металлические</t>
        </is>
      </c>
      <c r="D42" s="188" t="inlineStr">
        <is>
          <t>кг</t>
        </is>
      </c>
      <c r="E42" s="186" t="n">
        <v>150</v>
      </c>
      <c r="F42" s="73" t="n">
        <v>12.6</v>
      </c>
      <c r="G42" s="173">
        <f>ROUND(E42*F42,2)</f>
        <v/>
      </c>
      <c r="H42" s="71">
        <f>G42/$G$50</f>
        <v/>
      </c>
      <c r="I42" s="173">
        <f>ROUND(F42*Прил.10!$D$12,2)</f>
        <v/>
      </c>
      <c r="J42" s="173">
        <f>ROUND(I42*E42,2)</f>
        <v/>
      </c>
    </row>
    <row r="43" hidden="1" outlineLevel="1" ht="31.35" customFormat="1" customHeight="1" s="141">
      <c r="A43" s="171" t="n">
        <v>16</v>
      </c>
      <c r="B43" s="182" t="inlineStr">
        <is>
          <t>999-9950</t>
        </is>
      </c>
      <c r="C43" s="185" t="inlineStr">
        <is>
          <t>Вспомогательные ненормируемые ресурсы (2% от Оплаты труда рабочих)</t>
        </is>
      </c>
      <c r="D43" s="188" t="inlineStr">
        <is>
          <t>руб</t>
        </is>
      </c>
      <c r="E43" s="186" t="n">
        <v>1335</v>
      </c>
      <c r="F43" s="73" t="n">
        <v>1</v>
      </c>
      <c r="G43" s="173">
        <f>ROUND(E43*F43,2)</f>
        <v/>
      </c>
      <c r="H43" s="71">
        <f>G43/$G$50</f>
        <v/>
      </c>
      <c r="I43" s="173">
        <f>ROUND(F43*Прил.10!$D$12,2)</f>
        <v/>
      </c>
      <c r="J43" s="173">
        <f>ROUND(I43*E43,2)</f>
        <v/>
      </c>
    </row>
    <row r="44" hidden="1" outlineLevel="1" ht="46.9" customFormat="1" customHeight="1" s="141">
      <c r="A44" s="171" t="n">
        <v>17</v>
      </c>
      <c r="B44" s="182" t="inlineStr">
        <is>
          <t>11.1.03.05-0085</t>
        </is>
      </c>
      <c r="C44" s="185" t="inlineStr">
        <is>
          <t>Доска необрезная, хвойных пород, длина 4-6,5 м, все ширины, толщина 44 мм и более, сорт III</t>
        </is>
      </c>
      <c r="D44" s="188" t="inlineStr">
        <is>
          <t>м3</t>
        </is>
      </c>
      <c r="E44" s="186" t="n">
        <v>1.5</v>
      </c>
      <c r="F44" s="73" t="n">
        <v>684</v>
      </c>
      <c r="G44" s="173">
        <f>ROUND(E44*F44,2)</f>
        <v/>
      </c>
      <c r="H44" s="71">
        <f>G44/$G$50</f>
        <v/>
      </c>
      <c r="I44" s="173">
        <f>ROUND(F44*Прил.10!$D$12,2)</f>
        <v/>
      </c>
      <c r="J44" s="173">
        <f>ROUND(I44*E44,2)</f>
        <v/>
      </c>
    </row>
    <row r="45" hidden="1" outlineLevel="1" ht="31.35" customFormat="1" customHeight="1" s="141">
      <c r="A45" s="171" t="n">
        <v>18</v>
      </c>
      <c r="B45" s="182" t="inlineStr">
        <is>
          <t>01.7.15.06-0121</t>
        </is>
      </c>
      <c r="C45" s="185" t="inlineStr">
        <is>
          <t>Гвозди строительные с плоской головкой, размер 1,6х50 мм</t>
        </is>
      </c>
      <c r="D45" s="188" t="inlineStr">
        <is>
          <t>т</t>
        </is>
      </c>
      <c r="E45" s="186" t="n">
        <v>0.1125</v>
      </c>
      <c r="F45" s="73" t="n">
        <v>8475</v>
      </c>
      <c r="G45" s="173">
        <f>ROUND(E45*F45,2)</f>
        <v/>
      </c>
      <c r="H45" s="71">
        <f>G45/$G$50</f>
        <v/>
      </c>
      <c r="I45" s="173">
        <f>ROUND(F45*Прил.10!$D$12,2)</f>
        <v/>
      </c>
      <c r="J45" s="173">
        <f>ROUND(I45*E45,2)</f>
        <v/>
      </c>
    </row>
    <row r="46" hidden="1" outlineLevel="1" ht="15.6" customFormat="1" customHeight="1" s="141">
      <c r="A46" s="171" t="n">
        <v>19</v>
      </c>
      <c r="B46" s="182" t="inlineStr">
        <is>
          <t>14.5.09.01-0003</t>
        </is>
      </c>
      <c r="C46" s="185" t="inlineStr">
        <is>
          <t>Ацетон технический, сорт высший</t>
        </is>
      </c>
      <c r="D46" s="188" t="inlineStr">
        <is>
          <t>т</t>
        </is>
      </c>
      <c r="E46" s="186" t="n">
        <v>0.09</v>
      </c>
      <c r="F46" s="73" t="n">
        <v>9360</v>
      </c>
      <c r="G46" s="173">
        <f>ROUND(E46*F46,2)</f>
        <v/>
      </c>
      <c r="H46" s="71">
        <f>G46/$G$50</f>
        <v/>
      </c>
      <c r="I46" s="173">
        <f>ROUND(F46*Прил.10!$D$12,2)</f>
        <v/>
      </c>
      <c r="J46" s="173">
        <f>ROUND(I46*E46,2)</f>
        <v/>
      </c>
    </row>
    <row r="47" hidden="1" outlineLevel="1" ht="31.35" customFormat="1" customHeight="1" s="141">
      <c r="A47" s="171" t="n">
        <v>20</v>
      </c>
      <c r="B47" s="182" t="inlineStr">
        <is>
          <t>01.7.11.07-0034</t>
        </is>
      </c>
      <c r="C47" s="185" t="inlineStr">
        <is>
          <t>Электроды сварочные Э42А, диаметр 4 мм</t>
        </is>
      </c>
      <c r="D47" s="188" t="inlineStr">
        <is>
          <t>кг</t>
        </is>
      </c>
      <c r="E47" s="186" t="n">
        <v>60</v>
      </c>
      <c r="F47" s="73" t="n">
        <v>10.57</v>
      </c>
      <c r="G47" s="173">
        <f>ROUND(E47*F47,2)</f>
        <v/>
      </c>
      <c r="H47" s="71">
        <f>G47/$G$50</f>
        <v/>
      </c>
      <c r="I47" s="173">
        <f>ROUND(F47*Прил.10!$D$12,2)</f>
        <v/>
      </c>
      <c r="J47" s="173">
        <f>ROUND(I47*E47,2)</f>
        <v/>
      </c>
    </row>
    <row r="48" hidden="1" outlineLevel="1" ht="15.6" customFormat="1" customHeight="1" s="141">
      <c r="A48" s="171" t="n">
        <v>21</v>
      </c>
      <c r="B48" s="182" t="inlineStr">
        <is>
          <t>01.3.02.08-0001</t>
        </is>
      </c>
      <c r="C48" s="185" t="inlineStr">
        <is>
          <t>Кислород газообразный технический</t>
        </is>
      </c>
      <c r="D48" s="188" t="inlineStr">
        <is>
          <t>м3</t>
        </is>
      </c>
      <c r="E48" s="186" t="n">
        <v>77.25</v>
      </c>
      <c r="F48" s="73" t="n">
        <v>6.22</v>
      </c>
      <c r="G48" s="173">
        <f>ROUND(E48*F48,2)</f>
        <v/>
      </c>
      <c r="H48" s="71">
        <f>G48/$G$50</f>
        <v/>
      </c>
      <c r="I48" s="173">
        <f>ROUND(F48*Прил.10!$D$12,2)</f>
        <v/>
      </c>
      <c r="J48" s="173">
        <f>ROUND(I48*E48,2)</f>
        <v/>
      </c>
    </row>
    <row r="49" collapsed="1" ht="15.6" customFormat="1" customHeight="1" s="141">
      <c r="A49" s="171" t="n"/>
      <c r="B49" s="171" t="inlineStr">
        <is>
          <t>Итого прочие Материалы</t>
        </is>
      </c>
      <c r="C49" s="193" t="n"/>
      <c r="D49" s="193" t="n"/>
      <c r="E49" s="193" t="n"/>
      <c r="F49" s="194" t="n"/>
      <c r="G49" s="173">
        <f>SUM(G35:G48)</f>
        <v/>
      </c>
      <c r="H49" s="71">
        <f>SUM(H35:H48)</f>
        <v/>
      </c>
      <c r="I49" s="173" t="n"/>
      <c r="J49" s="173">
        <f>SUM(J35:J48)</f>
        <v/>
      </c>
    </row>
    <row r="50" ht="15.6" customFormat="1" customHeight="1" s="141">
      <c r="A50" s="171" t="n"/>
      <c r="B50" s="171" t="inlineStr">
        <is>
          <t>Итого по разделу "Материалы"</t>
        </is>
      </c>
      <c r="C50" s="193" t="n"/>
      <c r="D50" s="193" t="n"/>
      <c r="E50" s="193" t="n"/>
      <c r="F50" s="194" t="n"/>
      <c r="G50" s="173">
        <f>G34+G49</f>
        <v/>
      </c>
      <c r="H50" s="71">
        <f>H34+H49</f>
        <v/>
      </c>
      <c r="I50" s="173" t="n"/>
      <c r="J50" s="173">
        <f>J34+J49</f>
        <v/>
      </c>
    </row>
    <row r="51" ht="15.6" customFormat="1" customHeight="1" s="141">
      <c r="A51" s="172" t="n"/>
      <c r="B51" s="188" t="n"/>
      <c r="C51" s="185" t="inlineStr">
        <is>
          <t>ИТОГО ПО РМ</t>
        </is>
      </c>
      <c r="D51" s="188" t="n"/>
      <c r="E51" s="188" t="n"/>
      <c r="F51" s="187" t="n"/>
      <c r="G51" s="187">
        <f>+G14+G25+G50</f>
        <v/>
      </c>
      <c r="H51" s="82" t="n"/>
      <c r="I51" s="173" t="n"/>
      <c r="J51" s="187">
        <f>+J14+J25+J50</f>
        <v/>
      </c>
    </row>
    <row r="52" ht="15.6" customFormat="1" customHeight="1" s="141">
      <c r="A52" s="172" t="n"/>
      <c r="B52" s="188" t="n"/>
      <c r="C52" s="185" t="inlineStr">
        <is>
          <t>Накладные расходы</t>
        </is>
      </c>
      <c r="D52" s="84" t="n">
        <v>0.97001537641738</v>
      </c>
      <c r="E52" s="188" t="n"/>
      <c r="F52" s="187" t="n"/>
      <c r="G52" s="187">
        <f>(G14+G16)*D52</f>
        <v/>
      </c>
      <c r="H52" s="82" t="n"/>
      <c r="I52" s="173" t="n"/>
      <c r="J52" s="173">
        <f>(J14+J16)*D52</f>
        <v/>
      </c>
    </row>
    <row r="53" ht="15.6" customFormat="1" customHeight="1" s="141">
      <c r="A53" s="172" t="n"/>
      <c r="B53" s="188" t="n"/>
      <c r="C53" s="185" t="inlineStr">
        <is>
          <t>Сметная прибыль</t>
        </is>
      </c>
      <c r="D53" s="84" t="n">
        <v>0.51000808450811</v>
      </c>
      <c r="E53" s="188" t="n"/>
      <c r="F53" s="187" t="n"/>
      <c r="G53" s="187">
        <f>(G14+G16)*D53</f>
        <v/>
      </c>
      <c r="H53" s="82" t="n"/>
      <c r="I53" s="173" t="n"/>
      <c r="J53" s="173">
        <f>(J14+J16)*D53</f>
        <v/>
      </c>
    </row>
    <row r="54" ht="15.6" customFormat="1" customHeight="1" s="141">
      <c r="A54" s="172" t="n"/>
      <c r="B54" s="188" t="n"/>
      <c r="C54" s="185" t="inlineStr">
        <is>
          <t>Итого СМР (с НР и СП)</t>
        </is>
      </c>
      <c r="D54" s="188" t="n"/>
      <c r="E54" s="188" t="n"/>
      <c r="F54" s="187" t="n"/>
      <c r="G54" s="187">
        <f>G51+G52+G53</f>
        <v/>
      </c>
      <c r="H54" s="82" t="n"/>
      <c r="I54" s="173" t="n"/>
      <c r="J54" s="187">
        <f>J51+J52+J53</f>
        <v/>
      </c>
    </row>
    <row r="55" ht="15.6" customFormat="1" customHeight="1" s="141">
      <c r="A55" s="172" t="n"/>
      <c r="B55" s="188" t="n"/>
      <c r="C55" s="185" t="inlineStr">
        <is>
          <t>ВСЕГО СМР + ОБОРУДОВАНИЕ</t>
        </is>
      </c>
      <c r="D55" s="188" t="n"/>
      <c r="E55" s="188" t="n"/>
      <c r="F55" s="187" t="n"/>
      <c r="G55" s="187">
        <f>G29+G54</f>
        <v/>
      </c>
      <c r="H55" s="82" t="n"/>
      <c r="I55" s="173" t="n"/>
      <c r="J55" s="173">
        <f>J29+J54</f>
        <v/>
      </c>
    </row>
    <row r="56" ht="15.6" customFormat="1" customHeight="1" s="141">
      <c r="A56" s="172" t="n"/>
      <c r="B56" s="188" t="n"/>
      <c r="C56" s="185" t="inlineStr">
        <is>
          <t>ИТОГО ПОКАЗАТЕЛЬ НА ЕД. ИЗМ.</t>
        </is>
      </c>
      <c r="D56" s="188" t="inlineStr">
        <is>
          <t>м</t>
        </is>
      </c>
      <c r="E56" s="188" t="n">
        <v>250</v>
      </c>
      <c r="F56" s="187" t="n"/>
      <c r="G56" s="187">
        <f>G55/E56</f>
        <v/>
      </c>
      <c r="H56" s="82" t="n"/>
      <c r="I56" s="173" t="n"/>
      <c r="J56" s="187">
        <f>J55/E56</f>
        <v/>
      </c>
    </row>
    <row r="57" ht="15.6" customFormat="1" customHeight="1" s="141">
      <c r="A57" s="141" t="n"/>
      <c r="B57" s="141" t="n"/>
      <c r="C57" s="141" t="n"/>
      <c r="F57" s="85" t="n"/>
      <c r="G57" s="85" t="n"/>
      <c r="I57" s="85" t="n"/>
      <c r="J57" s="85" t="n"/>
    </row>
    <row r="58" ht="15.6" customFormat="1" customHeight="1" s="141">
      <c r="A58" s="141" t="inlineStr">
        <is>
          <t>Составил ______________________        М.С. Колотиевская</t>
        </is>
      </c>
      <c r="B58" s="141" t="n"/>
      <c r="C58" s="141" t="n"/>
      <c r="F58" s="85" t="n"/>
      <c r="G58" s="85" t="n"/>
      <c r="I58" s="85" t="n"/>
      <c r="J58" s="85" t="n"/>
    </row>
    <row r="59" ht="15.6" customFormat="1" customHeight="1" s="141">
      <c r="A59" s="131" t="inlineStr">
        <is>
          <t xml:space="preserve">                         (подпись, инициалы, фамилия)</t>
        </is>
      </c>
      <c r="B59" s="141" t="n"/>
      <c r="C59" s="141" t="n"/>
      <c r="F59" s="85" t="n"/>
      <c r="G59" s="85" t="n"/>
      <c r="I59" s="85" t="n"/>
      <c r="J59" s="85" t="n"/>
    </row>
    <row r="60" ht="15.6" customFormat="1" customHeight="1" s="141">
      <c r="A60" s="141" t="n"/>
      <c r="B60" s="141" t="n"/>
      <c r="C60" s="141" t="n"/>
      <c r="F60" s="85" t="n"/>
      <c r="G60" s="85" t="n"/>
      <c r="I60" s="85" t="n"/>
      <c r="J60" s="85" t="n"/>
    </row>
    <row r="61" ht="15.6" customFormat="1" customHeight="1" s="141">
      <c r="A61" s="141" t="inlineStr">
        <is>
          <t>Проверил ______________________      А.В. Костянецкая</t>
        </is>
      </c>
      <c r="B61" s="141" t="n"/>
      <c r="C61" s="141" t="n"/>
      <c r="F61" s="85" t="n"/>
      <c r="G61" s="85" t="n"/>
      <c r="I61" s="85" t="n"/>
      <c r="J61" s="85" t="n"/>
    </row>
    <row r="62" ht="15.6" customFormat="1" customHeight="1" s="141">
      <c r="A62" s="131" t="inlineStr">
        <is>
          <t xml:space="preserve">                        (подпись, инициалы, фамилия)</t>
        </is>
      </c>
      <c r="B62" s="141" t="n"/>
      <c r="C62" s="141" t="n"/>
      <c r="F62" s="85" t="n"/>
      <c r="G62" s="85" t="n"/>
      <c r="I62" s="85" t="n"/>
      <c r="J62" s="85" t="n"/>
    </row>
    <row r="63" ht="15.6" customFormat="1" customHeight="1" s="141">
      <c r="F63" s="85" t="n"/>
      <c r="G63" s="85" t="n"/>
      <c r="I63" s="85" t="n"/>
      <c r="J63" s="85" t="n"/>
    </row>
  </sheetData>
  <mergeCells count="25">
    <mergeCell ref="H9:H10"/>
    <mergeCell ref="B25:F25"/>
    <mergeCell ref="B15:H15"/>
    <mergeCell ref="H2:J2"/>
    <mergeCell ref="B21:F21"/>
    <mergeCell ref="C9:C10"/>
    <mergeCell ref="B32:H32"/>
    <mergeCell ref="E9:E10"/>
    <mergeCell ref="A7:H7"/>
    <mergeCell ref="B31:H31"/>
    <mergeCell ref="B9:B10"/>
    <mergeCell ref="D9:D10"/>
    <mergeCell ref="B18:H18"/>
    <mergeCell ref="B34:F34"/>
    <mergeCell ref="B12:H12"/>
    <mergeCell ref="B26:J26"/>
    <mergeCell ref="F9:G9"/>
    <mergeCell ref="B49:F49"/>
    <mergeCell ref="A4:H4"/>
    <mergeCell ref="B17:H17"/>
    <mergeCell ref="B24:F24"/>
    <mergeCell ref="A9:A10"/>
    <mergeCell ref="B27:J27"/>
    <mergeCell ref="B50:F50"/>
    <mergeCell ref="I9:J9"/>
  </mergeCells>
  <conditionalFormatting sqref="E13">
    <cfRule type="expression" priority="1" dxfId="0" stopIfTrue="1">
      <formula>E13&gt;=1/10000</formula>
    </cfRule>
  </conditionalFormatting>
  <conditionalFormatting sqref="E15:E63">
    <cfRule type="expression" priority="2" dxfId="0" stopIfTrue="1">
      <formula>E13&gt;=1/10000</formula>
    </cfRule>
  </conditionalFormatting>
  <conditionalFormatting sqref="E14">
    <cfRule type="expression" priority="3" dxfId="0" stopIfTrue="1">
      <formula>E14&gt;=1/10000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R12" sqref="R12"/>
    </sheetView>
  </sheetViews>
  <sheetFormatPr baseColWidth="8" defaultColWidth="9.140625" defaultRowHeight="15"/>
  <cols>
    <col width="5.5703125" customWidth="1" style="139" min="1" max="1"/>
    <col width="14.85546875" customWidth="1" style="139" min="2" max="2"/>
    <col width="39.140625" customWidth="1" style="139" min="3" max="3"/>
    <col width="8.42578125" customWidth="1" style="139" min="4" max="4"/>
    <col width="13.42578125" customWidth="1" style="139" min="5" max="5"/>
    <col width="12.42578125" customWidth="1" style="139" min="6" max="6"/>
    <col width="14.140625" customWidth="1" style="139" min="7" max="7"/>
    <col width="9.140625" customWidth="1" style="139" min="8" max="8"/>
  </cols>
  <sheetData>
    <row r="1" ht="15.6" customHeight="1" s="139">
      <c r="A1" s="174" t="inlineStr">
        <is>
          <t>Приложение №6</t>
        </is>
      </c>
    </row>
    <row r="2" ht="21.75" customHeight="1" s="139">
      <c r="A2" s="174" t="n"/>
      <c r="B2" s="174" t="n"/>
      <c r="C2" s="174" t="n"/>
      <c r="D2" s="174" t="n"/>
      <c r="E2" s="174" t="n"/>
      <c r="F2" s="174" t="n"/>
      <c r="G2" s="174" t="n"/>
    </row>
    <row r="3" ht="15.6" customHeight="1" s="139">
      <c r="A3" s="167" t="inlineStr">
        <is>
          <t>Расчет стоимости оборудования</t>
        </is>
      </c>
    </row>
    <row r="4" ht="25.5" customHeight="1" s="139">
      <c r="A4" s="175" t="inlineStr">
        <is>
          <t>Наименование разрабатываемого показателя УНЦ —  Токопровод с литой изоляцией 35 кВ, 630 А</t>
        </is>
      </c>
    </row>
    <row r="5" ht="15.6" customHeight="1" s="139">
      <c r="A5" s="141" t="n"/>
      <c r="B5" s="141" t="n"/>
      <c r="C5" s="141" t="n"/>
      <c r="D5" s="141" t="n"/>
      <c r="E5" s="141" t="n"/>
      <c r="F5" s="141" t="n"/>
      <c r="G5" s="141" t="n"/>
    </row>
    <row r="6" ht="30.2" customFormat="1" customHeight="1" s="141">
      <c r="A6" s="188" t="inlineStr">
        <is>
          <t>№ пп.</t>
        </is>
      </c>
      <c r="B6" s="188" t="inlineStr">
        <is>
          <t>Код ресурса</t>
        </is>
      </c>
      <c r="C6" s="188" t="inlineStr">
        <is>
          <t>Наименование</t>
        </is>
      </c>
      <c r="D6" s="188" t="inlineStr">
        <is>
          <t>Ед. изм.</t>
        </is>
      </c>
      <c r="E6" s="168" t="inlineStr">
        <is>
          <t>Кол-во единиц по проектным данным</t>
        </is>
      </c>
      <c r="F6" s="188" t="inlineStr">
        <is>
          <t>Сметная стоимость в ценах на 01.01.2000 (руб.)</t>
        </is>
      </c>
      <c r="G6" s="194" t="n"/>
    </row>
    <row r="7" ht="15.6" customFormat="1" customHeight="1" s="141">
      <c r="A7" s="196" t="n"/>
      <c r="B7" s="196" t="n"/>
      <c r="C7" s="196" t="n"/>
      <c r="D7" s="196" t="n"/>
      <c r="E7" s="196" t="n"/>
      <c r="F7" s="168" t="inlineStr">
        <is>
          <t>на ед. изм.</t>
        </is>
      </c>
      <c r="G7" s="168" t="inlineStr">
        <is>
          <t>общая</t>
        </is>
      </c>
    </row>
    <row r="8" ht="15.6" customFormat="1" customHeight="1" s="141">
      <c r="A8" s="168" t="n">
        <v>1</v>
      </c>
      <c r="B8" s="168" t="n">
        <v>2</v>
      </c>
      <c r="C8" s="168" t="n">
        <v>3</v>
      </c>
      <c r="D8" s="168" t="n">
        <v>4</v>
      </c>
      <c r="E8" s="168" t="n">
        <v>5</v>
      </c>
      <c r="F8" s="168" t="n">
        <v>6</v>
      </c>
      <c r="G8" s="168" t="n">
        <v>7</v>
      </c>
    </row>
    <row r="9" ht="15.6" customFormat="1" customHeight="1" s="141">
      <c r="A9" s="172" t="n"/>
      <c r="B9" s="185" t="inlineStr">
        <is>
          <t>ИНЖЕНЕРНОЕ ОБОРУДОВАНИЕ</t>
        </is>
      </c>
      <c r="C9" s="193" t="n"/>
      <c r="D9" s="193" t="n"/>
      <c r="E9" s="193" t="n"/>
      <c r="F9" s="193" t="n"/>
      <c r="G9" s="194" t="n"/>
    </row>
    <row r="10" ht="31.35" customFormat="1" customHeight="1" s="141">
      <c r="A10" s="188" t="n"/>
      <c r="B10" s="24" t="n"/>
      <c r="C10" s="185" t="inlineStr">
        <is>
          <t>ИТОГО ИНЖЕНЕРНОЕ ОБОРУДОВАНИЕ</t>
        </is>
      </c>
      <c r="D10" s="24" t="n"/>
      <c r="E10" s="28" t="n"/>
      <c r="F10" s="187" t="n"/>
      <c r="G10" s="187" t="n">
        <v>0</v>
      </c>
    </row>
    <row r="11" ht="15.6" customFormat="1" customHeight="1" s="141">
      <c r="A11" s="188" t="n"/>
      <c r="B11" s="185" t="inlineStr">
        <is>
          <t>ТЕХНОЛОГИЧЕСКОЕ ОБОРУДОВАНИЕ</t>
        </is>
      </c>
      <c r="C11" s="193" t="n"/>
      <c r="D11" s="193" t="n"/>
      <c r="E11" s="193" t="n"/>
      <c r="F11" s="193" t="n"/>
      <c r="G11" s="194" t="n"/>
    </row>
    <row r="12" ht="31.35" customFormat="1" customHeight="1" s="141">
      <c r="A12" s="188" t="n"/>
      <c r="B12" s="185" t="n"/>
      <c r="C12" s="185" t="inlineStr">
        <is>
          <t>ИТОГО ТЕХНОЛОГИЧЕСКОЕ ОБОРУДОВАНИЕ</t>
        </is>
      </c>
      <c r="D12" s="185" t="n"/>
      <c r="E12" s="186" t="n"/>
      <c r="F12" s="187" t="n"/>
      <c r="G12" s="187" t="n">
        <v>0</v>
      </c>
    </row>
    <row r="13" ht="15.6" customFormat="1" customHeight="1" s="141">
      <c r="A13" s="188" t="n"/>
      <c r="B13" s="185" t="n"/>
      <c r="C13" s="185" t="inlineStr">
        <is>
          <t>Всего по разделу «Оборудование»</t>
        </is>
      </c>
      <c r="D13" s="185" t="n"/>
      <c r="E13" s="186" t="n"/>
      <c r="F13" s="187" t="n"/>
      <c r="G13" s="187">
        <f>G12</f>
        <v/>
      </c>
    </row>
    <row r="14" ht="15.6" customFormat="1" customHeight="1" s="141">
      <c r="A14" s="141" t="n"/>
      <c r="B14" s="141" t="n"/>
      <c r="C14" s="141" t="n"/>
    </row>
    <row r="15" ht="15.6" customFormat="1" customHeight="1" s="141">
      <c r="A15" s="141" t="inlineStr">
        <is>
          <t>Составил ______________________        М.С. Колотиевская</t>
        </is>
      </c>
      <c r="B15" s="141" t="n"/>
      <c r="C15" s="141" t="n"/>
    </row>
    <row r="16" ht="15.6" customFormat="1" customHeight="1" s="141">
      <c r="A16" s="131" t="inlineStr">
        <is>
          <t xml:space="preserve">                         (подпись, инициалы, фамилия)</t>
        </is>
      </c>
      <c r="B16" s="141" t="n"/>
      <c r="C16" s="141" t="n"/>
    </row>
    <row r="17" ht="15.6" customFormat="1" customHeight="1" s="141">
      <c r="A17" s="141" t="n"/>
      <c r="B17" s="141" t="n"/>
      <c r="C17" s="141" t="n"/>
    </row>
    <row r="18" ht="15.6" customFormat="1" customHeight="1" s="141">
      <c r="A18" s="141" t="inlineStr">
        <is>
          <t>Проверил ______________________      А.В. Костянецкая</t>
        </is>
      </c>
      <c r="B18" s="141" t="n"/>
      <c r="C18" s="141" t="n"/>
    </row>
    <row r="19" ht="15.6" customFormat="1" customHeight="1" s="141">
      <c r="A19" s="131" t="inlineStr">
        <is>
          <t xml:space="preserve">                        (подпись, инициалы, фамилия)</t>
        </is>
      </c>
      <c r="B19" s="141" t="n"/>
      <c r="C19" s="141" t="n"/>
    </row>
    <row r="20" ht="15.6" customFormat="1" customHeight="1" s="141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conditionalFormatting sqref="E10:E13">
    <cfRule type="expression" priority="1" dxfId="0" stopIfTrue="1">
      <formula>E10&gt;=1/10000</formula>
    </cfRule>
  </conditionalFormatting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27" sqref="B27:D32"/>
    </sheetView>
  </sheetViews>
  <sheetFormatPr baseColWidth="8" defaultColWidth="8.85546875" defaultRowHeight="15"/>
  <cols>
    <col width="14.42578125" customWidth="1" style="139" min="1" max="1"/>
    <col width="29.5703125" customWidth="1" style="139" min="2" max="2"/>
    <col width="39.140625" customWidth="1" style="139" min="3" max="3"/>
    <col width="48.140625" customWidth="1" style="139" min="4" max="4"/>
    <col width="8.85546875" customWidth="1" style="139" min="5" max="5"/>
  </cols>
  <sheetData>
    <row r="1">
      <c r="B1" s="111" t="n"/>
      <c r="C1" s="111" t="n"/>
      <c r="D1" s="107" t="inlineStr">
        <is>
          <t>Приложение №7</t>
        </is>
      </c>
    </row>
    <row r="2">
      <c r="A2" s="107" t="n"/>
      <c r="B2" s="107" t="n"/>
      <c r="C2" s="107" t="n"/>
      <c r="D2" s="107" t="n"/>
    </row>
    <row r="3" ht="24.75" customHeight="1" s="139">
      <c r="A3" s="191" t="inlineStr">
        <is>
          <t>Расчет показателя УНЦ</t>
        </is>
      </c>
    </row>
    <row r="4" ht="24.75" customHeight="1" s="139">
      <c r="A4" s="191" t="n"/>
      <c r="B4" s="191" t="n"/>
      <c r="C4" s="191" t="n"/>
      <c r="D4" s="191" t="n"/>
    </row>
    <row r="5" ht="24.6" customHeight="1" s="139">
      <c r="A5" s="192" t="inlineStr">
        <is>
          <t xml:space="preserve">Наименование разрабатываемого показателя УНЦ - </t>
        </is>
      </c>
      <c r="D5" s="192">
        <f>'Прил.5 Расчет СМР и ОБ'!D6:J6</f>
        <v/>
      </c>
    </row>
    <row r="6" ht="19.9" customHeight="1" s="139">
      <c r="A6" s="192" t="inlineStr">
        <is>
          <t>Единица измерения  — 1 м</t>
        </is>
      </c>
      <c r="D6" s="192" t="n"/>
    </row>
    <row r="7">
      <c r="A7" s="111" t="n"/>
      <c r="B7" s="111" t="n"/>
      <c r="C7" s="111" t="n"/>
      <c r="D7" s="111" t="n"/>
    </row>
    <row r="8" ht="14.45" customHeight="1" s="139">
      <c r="A8" s="168" t="inlineStr">
        <is>
          <t>Код показателя</t>
        </is>
      </c>
      <c r="B8" s="168" t="inlineStr">
        <is>
          <t>Наименование показателя</t>
        </is>
      </c>
      <c r="C8" s="168" t="inlineStr">
        <is>
          <t>Наименование РМ, входящих в состав показателя</t>
        </is>
      </c>
      <c r="D8" s="168" t="inlineStr">
        <is>
          <t>Норматив цены на 01.01.2023, тыс.руб.</t>
        </is>
      </c>
    </row>
    <row r="9" ht="15" customHeight="1" s="139">
      <c r="A9" s="196" t="n"/>
      <c r="B9" s="196" t="n"/>
      <c r="C9" s="196" t="n"/>
      <c r="D9" s="196" t="n"/>
    </row>
    <row r="10">
      <c r="A10" s="112" t="n">
        <v>1</v>
      </c>
      <c r="B10" s="112" t="n">
        <v>2</v>
      </c>
      <c r="C10" s="112" t="n">
        <v>3</v>
      </c>
      <c r="D10" s="112" t="n">
        <v>4</v>
      </c>
    </row>
    <row r="11" ht="41.45" customHeight="1" s="139">
      <c r="A11" s="112" t="inlineStr">
        <is>
          <t>К6-01-04</t>
        </is>
      </c>
      <c r="B11" s="112" t="inlineStr">
        <is>
          <t>УНЦ токопровода 6-35 кВ с литой изоляцией</t>
        </is>
      </c>
      <c r="C11" s="113">
        <f>D5</f>
        <v/>
      </c>
      <c r="D11" s="114">
        <f>'Прил.4 РМ'!C41/1000</f>
        <v/>
      </c>
      <c r="E11" s="115" t="n"/>
    </row>
    <row r="12" ht="15.75" customHeight="1" s="139">
      <c r="B12" s="141" t="n"/>
      <c r="C12" s="141" t="n"/>
      <c r="D12" s="141" t="n"/>
    </row>
    <row r="13" ht="15.75" customHeight="1" s="139">
      <c r="B13" s="141" t="inlineStr">
        <is>
          <t>Составил ______________________        М.С. Колотиевская</t>
        </is>
      </c>
      <c r="C13" s="141" t="n"/>
      <c r="D13" s="141" t="n"/>
    </row>
    <row r="14" ht="15.75" customHeight="1" s="139">
      <c r="B14" s="131" t="inlineStr">
        <is>
          <t xml:space="preserve">                         (подпись, инициалы, фамилия)</t>
        </is>
      </c>
      <c r="C14" s="141" t="n"/>
      <c r="D14" s="141" t="n"/>
    </row>
    <row r="15" ht="15.75" customHeight="1" s="139">
      <c r="B15" s="141" t="n"/>
      <c r="C15" s="141" t="n"/>
      <c r="D15" s="141" t="n"/>
    </row>
    <row r="16" ht="15.75" customHeight="1" s="139">
      <c r="B16" s="141" t="inlineStr">
        <is>
          <t>Проверил ______________________      А.В. Костянецкая</t>
        </is>
      </c>
      <c r="C16" s="141" t="n"/>
      <c r="D16" s="141" t="n"/>
    </row>
    <row r="17" ht="15.75" customHeight="1" s="139">
      <c r="B17" s="131" t="inlineStr">
        <is>
          <t xml:space="preserve">                        (подпись, инициалы, фамилия)</t>
        </is>
      </c>
      <c r="C17" s="141" t="n"/>
      <c r="D17" s="14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9"/>
  <sheetViews>
    <sheetView view="pageBreakPreview" zoomScale="60" zoomScaleNormal="100" workbookViewId="0">
      <selection activeCell="B27" sqref="B27:D32"/>
    </sheetView>
  </sheetViews>
  <sheetFormatPr baseColWidth="8" defaultColWidth="9.140625" defaultRowHeight="15"/>
  <cols>
    <col width="9.140625" customWidth="1" style="139" min="1" max="1"/>
    <col width="40.5703125" customWidth="1" style="139" min="2" max="2"/>
    <col width="37" customWidth="1" style="139" min="3" max="3"/>
    <col width="32" customWidth="1" style="139" min="4" max="4"/>
    <col width="9.140625" customWidth="1" style="139" min="5" max="5"/>
  </cols>
  <sheetData>
    <row r="4" ht="15.6" customHeight="1" s="139">
      <c r="B4" s="163" t="inlineStr">
        <is>
          <t>Приложение № 10</t>
        </is>
      </c>
    </row>
    <row r="5" ht="18" customHeight="1" s="139">
      <c r="B5" s="30" t="n"/>
    </row>
    <row r="6" ht="15.6" customHeight="1" s="139">
      <c r="B6" s="167" t="inlineStr">
        <is>
          <t>Используемые индексы изменений сметной стоимости и нормы сопутствующих затрат</t>
        </is>
      </c>
    </row>
    <row r="7" ht="18" customHeight="1" s="139">
      <c r="B7" s="96" t="n"/>
    </row>
    <row r="8" ht="46.9" customFormat="1" customHeight="1" s="141">
      <c r="B8" s="168" t="inlineStr">
        <is>
          <t>Наименование индекса / норм сопутствующих затрат</t>
        </is>
      </c>
      <c r="C8" s="168" t="inlineStr">
        <is>
          <t>Дата применения и обоснование индекса / норм сопутствующих затрат</t>
        </is>
      </c>
      <c r="D8" s="168" t="inlineStr">
        <is>
          <t>Размер индекса / норма сопутствующих затрат</t>
        </is>
      </c>
    </row>
    <row r="9" ht="15.6" customFormat="1" customHeight="1" s="141">
      <c r="B9" s="168" t="n">
        <v>1</v>
      </c>
      <c r="C9" s="168" t="n">
        <v>2</v>
      </c>
      <c r="D9" s="168" t="n">
        <v>3</v>
      </c>
    </row>
    <row r="10" ht="45" customFormat="1" customHeight="1" s="141">
      <c r="B10" s="168" t="inlineStr">
        <is>
          <t xml:space="preserve">Индекс изменения сметной стоимости на 1 квартал 2023 года. ОЗП </t>
        </is>
      </c>
      <c r="C10" s="168" t="inlineStr">
        <is>
          <t>Письмо Минстроя России от 30.03.2023г. №17106-ИФ/09  прил.1</t>
        </is>
      </c>
      <c r="D10" s="168" t="n">
        <v>44.29</v>
      </c>
    </row>
    <row r="11" ht="29.25" customFormat="1" customHeight="1" s="141">
      <c r="B11" s="168" t="inlineStr">
        <is>
          <t>Индекс изменения сметной стоимости на 1 квартал 2023 года. ЭМ</t>
        </is>
      </c>
      <c r="C11" s="168" t="inlineStr">
        <is>
          <t>Письмо Минстроя России от 30.03.2023г. №17106-ИФ/09  прил.1</t>
        </is>
      </c>
      <c r="D11" s="168" t="n">
        <v>13.47</v>
      </c>
    </row>
    <row r="12" ht="29.25" customFormat="1" customHeight="1" s="141">
      <c r="B12" s="168" t="inlineStr">
        <is>
          <t>Индекс изменения сметной стоимости на 1 квартал 2023 года. МАТ</t>
        </is>
      </c>
      <c r="C12" s="168" t="inlineStr">
        <is>
          <t>Письмо Минстроя России от 30.03.2023г. №17106-ИФ/09  прил.1</t>
        </is>
      </c>
      <c r="D12" s="168" t="n">
        <v>8.039999999999999</v>
      </c>
    </row>
    <row r="13" ht="30.75" customFormat="1" customHeight="1" s="141">
      <c r="B13" s="168" t="inlineStr">
        <is>
          <t>Индекс изменения сметной стоимости на 1 квартал 2023 года. ОБ</t>
        </is>
      </c>
      <c r="C13" s="102" t="inlineStr">
        <is>
          <t>Письмо Минстроя России от 23.02.2023г. №9791-ИФ/09 прил.6</t>
        </is>
      </c>
      <c r="D13" s="168" t="n">
        <v>6.26</v>
      </c>
    </row>
    <row r="14" ht="89.45" customFormat="1" customHeight="1" s="141">
      <c r="B14" s="168" t="inlineStr">
        <is>
          <t>Временные здания и сооружения</t>
        </is>
      </c>
      <c r="C14" s="168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31" t="n">
        <v>0.039</v>
      </c>
    </row>
    <row r="15" ht="78.75" customFormat="1" customHeight="1" s="141">
      <c r="B15" s="168" t="inlineStr">
        <is>
          <t>Дополнительные затраты при производстве строительно-монтажных работ в зимнее время</t>
        </is>
      </c>
      <c r="C15" s="168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31" t="n">
        <v>0.021</v>
      </c>
      <c r="E15" s="63" t="n"/>
    </row>
    <row r="16" ht="31.7" customFormat="1" customHeight="1" s="141">
      <c r="B16" s="168" t="inlineStr">
        <is>
          <t>Строительный контроль</t>
        </is>
      </c>
      <c r="C16" s="168" t="inlineStr">
        <is>
          <t>Постановление Правительства РФ от 21.06.10 г. № 468</t>
        </is>
      </c>
      <c r="D16" s="31" t="n">
        <v>0.0214</v>
      </c>
    </row>
    <row r="17" ht="31.7" customFormat="1" customHeight="1" s="141">
      <c r="B17" s="168" t="inlineStr">
        <is>
          <t>Авторский надзор</t>
        </is>
      </c>
      <c r="C17" s="168" t="inlineStr">
        <is>
          <t>Приказ от 4.08.2020 № 421/пр п.173</t>
        </is>
      </c>
      <c r="D17" s="31" t="n">
        <v>0.002</v>
      </c>
    </row>
    <row r="18" ht="24" customFormat="1" customHeight="1" s="141">
      <c r="B18" s="168" t="inlineStr">
        <is>
          <t>Непредвиденные расходы</t>
        </is>
      </c>
      <c r="C18" s="168" t="inlineStr">
        <is>
          <t>Приказ от 4.08.2020 № 421/пр п.179</t>
        </is>
      </c>
      <c r="D18" s="31" t="n">
        <v>0.03</v>
      </c>
    </row>
    <row r="19" ht="15.6" customFormat="1" customHeight="1" s="141">
      <c r="B19" s="162" t="n"/>
    </row>
    <row r="20" ht="15.6" customFormat="1" customHeight="1" s="141">
      <c r="B20" s="162" t="n"/>
    </row>
    <row r="21" ht="15.6" customFormat="1" customHeight="1" s="141">
      <c r="B21" s="162" t="n"/>
    </row>
    <row r="22" ht="15.6" customFormat="1" customHeight="1" s="141">
      <c r="B22" s="162" t="n"/>
    </row>
    <row r="23" ht="15.6" customFormat="1" customHeight="1" s="141"/>
    <row r="24" ht="15.6" customFormat="1" customHeight="1" s="141">
      <c r="B24" s="141" t="n"/>
      <c r="C24" s="141" t="n"/>
      <c r="D24" s="141" t="n"/>
    </row>
    <row r="25" ht="15.6" customFormat="1" customHeight="1" s="141">
      <c r="B25" s="141" t="inlineStr">
        <is>
          <t>Составил ______________________        М.С. Колотиевская</t>
        </is>
      </c>
      <c r="C25" s="141" t="n"/>
      <c r="D25" s="141" t="n"/>
    </row>
    <row r="26" ht="15.6" customFormat="1" customHeight="1" s="141">
      <c r="B26" s="131" t="inlineStr">
        <is>
          <t xml:space="preserve">                         (подпись, инициалы, фамилия)</t>
        </is>
      </c>
      <c r="C26" s="141" t="n"/>
      <c r="D26" s="141" t="n"/>
    </row>
    <row r="27" ht="15.6" customFormat="1" customHeight="1" s="141">
      <c r="B27" s="141" t="n"/>
      <c r="C27" s="141" t="n"/>
      <c r="D27" s="141" t="n"/>
    </row>
    <row r="28" ht="15.6" customFormat="1" customHeight="1" s="141">
      <c r="B28" s="141" t="inlineStr">
        <is>
          <t>Проверил ______________________      А.В. Костянецкая</t>
        </is>
      </c>
      <c r="C28" s="141" t="n"/>
      <c r="D28" s="141" t="n"/>
    </row>
    <row r="29" ht="15.6" customFormat="1" customHeight="1" s="141">
      <c r="B29" s="131" t="inlineStr">
        <is>
          <t xml:space="preserve">                        (подпись, инициалы, фамилия)</t>
        </is>
      </c>
      <c r="C29" s="141" t="n"/>
      <c r="D29" s="141" t="n"/>
    </row>
    <row r="30" ht="15.6" customFormat="1" customHeight="1" s="141"/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S13" sqref="S13"/>
    </sheetView>
  </sheetViews>
  <sheetFormatPr baseColWidth="8" defaultColWidth="9.140625" defaultRowHeight="15"/>
  <cols>
    <col width="44.85546875" customWidth="1" style="139" min="2" max="2"/>
    <col width="13" customWidth="1" style="139" min="3" max="3"/>
    <col width="22.85546875" customWidth="1" style="139" min="4" max="4"/>
    <col width="21.5703125" customWidth="1" style="139" min="5" max="5"/>
    <col width="43.85546875" customWidth="1" style="139" min="6" max="6"/>
  </cols>
  <sheetData>
    <row r="1" s="139"/>
    <row r="2" ht="18" customHeight="1" s="139">
      <c r="A2" s="167" t="inlineStr">
        <is>
          <t>Расчет размера средств на оплату труда рабочих-строителей в текущем уровне цен (ФОТр.тек.)</t>
        </is>
      </c>
    </row>
    <row r="3" s="139"/>
    <row r="4" ht="18" customHeight="1" s="139">
      <c r="A4" s="140" t="inlineStr">
        <is>
          <t>Составлен в уровне цен на 01.01.2023 г.</t>
        </is>
      </c>
      <c r="B4" s="141" t="n"/>
      <c r="C4" s="141" t="n"/>
      <c r="D4" s="141" t="n"/>
      <c r="E4" s="141" t="n"/>
      <c r="F4" s="141" t="n"/>
      <c r="G4" s="141" t="n"/>
    </row>
    <row r="5" ht="15.6" customHeight="1" s="139">
      <c r="A5" s="142" t="inlineStr">
        <is>
          <t>№ пп.</t>
        </is>
      </c>
      <c r="B5" s="142" t="inlineStr">
        <is>
          <t>Наименование элемента</t>
        </is>
      </c>
      <c r="C5" s="142" t="inlineStr">
        <is>
          <t>Обозначение</t>
        </is>
      </c>
      <c r="D5" s="142" t="inlineStr">
        <is>
          <t>Формула</t>
        </is>
      </c>
      <c r="E5" s="142" t="inlineStr">
        <is>
          <t>Величина элемента</t>
        </is>
      </c>
      <c r="F5" s="142" t="inlineStr">
        <is>
          <t>Наименования обосновывающих документов</t>
        </is>
      </c>
      <c r="G5" s="141" t="n"/>
    </row>
    <row r="6" ht="15.6" customHeight="1" s="139">
      <c r="A6" s="142" t="n">
        <v>1</v>
      </c>
      <c r="B6" s="142" t="n">
        <v>2</v>
      </c>
      <c r="C6" s="142" t="n">
        <v>3</v>
      </c>
      <c r="D6" s="142" t="n">
        <v>4</v>
      </c>
      <c r="E6" s="142" t="n">
        <v>5</v>
      </c>
      <c r="F6" s="142" t="n">
        <v>6</v>
      </c>
      <c r="G6" s="141" t="n"/>
    </row>
    <row r="7" ht="109.15" customHeight="1" s="139">
      <c r="A7" s="143" t="inlineStr">
        <is>
          <t>1.1</t>
        </is>
      </c>
      <c r="B7" s="14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68" t="inlineStr">
        <is>
          <t>С1ср</t>
        </is>
      </c>
      <c r="D7" s="168" t="inlineStr">
        <is>
          <t>-</t>
        </is>
      </c>
      <c r="E7" s="146" t="n">
        <v>47872.94</v>
      </c>
      <c r="F7" s="14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1" t="n"/>
    </row>
    <row r="8" ht="31.15" customHeight="1" s="139">
      <c r="A8" s="143" t="inlineStr">
        <is>
          <t>1.2</t>
        </is>
      </c>
      <c r="B8" s="148" t="inlineStr">
        <is>
          <t>Среднегодовое нормативное число часов работы одного рабочего в месяц, часы (ч.)</t>
        </is>
      </c>
      <c r="C8" s="168" t="inlineStr">
        <is>
          <t>tср</t>
        </is>
      </c>
      <c r="D8" s="168" t="inlineStr">
        <is>
          <t>1973ч/12мес.</t>
        </is>
      </c>
      <c r="E8" s="147">
        <f>1973/12</f>
        <v/>
      </c>
      <c r="F8" s="148" t="inlineStr">
        <is>
          <t>Производственный календарь 2023 год
(40-часов.неделя)</t>
        </is>
      </c>
      <c r="G8" s="150" t="n"/>
    </row>
    <row r="9" ht="15.6" customHeight="1" s="139">
      <c r="A9" s="143" t="inlineStr">
        <is>
          <t>1.3</t>
        </is>
      </c>
      <c r="B9" s="148" t="inlineStr">
        <is>
          <t>Коэффициент увеличения</t>
        </is>
      </c>
      <c r="C9" s="168" t="inlineStr">
        <is>
          <t>Кув</t>
        </is>
      </c>
      <c r="D9" s="168" t="inlineStr">
        <is>
          <t>-</t>
        </is>
      </c>
      <c r="E9" s="147" t="n">
        <v>1</v>
      </c>
      <c r="F9" s="148" t="n"/>
      <c r="G9" s="150" t="n"/>
    </row>
    <row r="10" ht="15.6" customHeight="1" s="139">
      <c r="A10" s="143" t="inlineStr">
        <is>
          <t>1.4</t>
        </is>
      </c>
      <c r="B10" s="148" t="inlineStr">
        <is>
          <t>Средний разряд работ</t>
        </is>
      </c>
      <c r="C10" s="168" t="n"/>
      <c r="D10" s="168" t="n"/>
      <c r="E10" s="151" t="n">
        <v>4</v>
      </c>
      <c r="F10" s="148" t="inlineStr">
        <is>
          <t>РТМ</t>
        </is>
      </c>
      <c r="G10" s="150" t="n"/>
    </row>
    <row r="11" ht="78" customHeight="1" s="139">
      <c r="A11" s="143" t="inlineStr">
        <is>
          <t>1.5</t>
        </is>
      </c>
      <c r="B11" s="148" t="inlineStr">
        <is>
          <t>Тарифный коэффициент среднего разряда работ</t>
        </is>
      </c>
      <c r="C11" s="168" t="inlineStr">
        <is>
          <t>КТ</t>
        </is>
      </c>
      <c r="D11" s="168" t="inlineStr">
        <is>
          <t>-</t>
        </is>
      </c>
      <c r="E11" s="152" t="n">
        <v>1.34</v>
      </c>
      <c r="F11" s="14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1" t="n"/>
    </row>
    <row r="12" ht="78" customHeight="1" s="139">
      <c r="A12" s="143" t="inlineStr">
        <is>
          <t>1.6</t>
        </is>
      </c>
      <c r="B12" s="177" t="inlineStr">
        <is>
          <t>Коэффициент инфляции, определяемый поквартально</t>
        </is>
      </c>
      <c r="C12" s="168" t="inlineStr">
        <is>
          <t>Кинф</t>
        </is>
      </c>
      <c r="D12" s="168" t="inlineStr">
        <is>
          <t>-</t>
        </is>
      </c>
      <c r="E12" s="154" t="n">
        <v>1.139</v>
      </c>
      <c r="F12" s="17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50" t="n"/>
    </row>
    <row r="13" ht="62.45" customHeight="1" s="139">
      <c r="A13" s="156" t="inlineStr">
        <is>
          <t>1.7</t>
        </is>
      </c>
      <c r="B13" s="157" t="inlineStr">
        <is>
          <t>Размер средств на оплату труда рабочих-строителей в текущем уровне цен (ФОТр.тек.), руб/чел.-ч</t>
        </is>
      </c>
      <c r="C13" s="189" t="inlineStr">
        <is>
          <t>ФОТр.тек.</t>
        </is>
      </c>
      <c r="D13" s="189" t="inlineStr">
        <is>
          <t>(С1ср/tср*КТ*Т*Кув)*Кинф</t>
        </is>
      </c>
      <c r="E13" s="159">
        <f>((E7*E9/E8)*E11)*E12</f>
        <v/>
      </c>
      <c r="F13" s="16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1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2023-08-11T09:18:15Z</dcterms:created>
  <dcterms:modified xsi:type="dcterms:W3CDTF">2025-01-24T12:09:29Z</dcterms:modified>
  <cp:lastModifiedBy>REDMIBOOK</cp:lastModifiedBy>
  <cp:lastPrinted>2023-12-01T06:31:09Z</cp:lastPrinted>
</cp:coreProperties>
</file>