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'Прил.3'!$A$1:$H$79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#,##0.000"/>
    <numFmt numFmtId="166" formatCode="0.0000"/>
    <numFmt numFmtId="167" formatCode="#,##0.0000"/>
    <numFmt numFmtId="168" formatCode="_-* #,##0.00_-;\-* #,##0.00_-;_-* &quot;-&quot;??_-;_-@_-"/>
    <numFmt numFmtId="169" formatCode="0.000"/>
    <numFmt numFmtId="170" formatCode="0.00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164" fontId="6" fillId="0" borderId="1" applyAlignment="1" pivotButton="0" quotePrefix="0" xfId="0">
      <alignment horizontal="center" vertical="center"/>
    </xf>
    <xf numFmtId="165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0" fontId="2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2" applyAlignment="1" pivotButton="0" quotePrefix="0" xfId="0">
      <alignment horizontal="center" vertical="center" wrapText="1"/>
    </xf>
    <xf numFmtId="0" fontId="2" fillId="0" borderId="2" pivotButton="0" quotePrefix="0" xfId="0"/>
    <xf numFmtId="0" fontId="1" fillId="0" borderId="5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14" fontId="6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8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9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8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top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0" fontId="1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4" fontId="8" fillId="0" borderId="3" applyAlignment="1" pivotButton="0" quotePrefix="0" xfId="0">
      <alignment horizontal="center" vertical="center" wrapText="1"/>
    </xf>
    <xf numFmtId="4" fontId="8" fillId="0" borderId="10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 vertical="center"/>
    </xf>
    <xf numFmtId="4" fontId="6" fillId="0" borderId="3" applyAlignment="1" pivotButton="0" quotePrefix="0" xfId="0">
      <alignment horizontal="center" vertical="center" wrapText="1"/>
    </xf>
    <xf numFmtId="4" fontId="6" fillId="0" borderId="10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center" wrapText="1"/>
    </xf>
    <xf numFmtId="0" fontId="4" fillId="0" borderId="10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4" fontId="8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60" zoomScaleNormal="55" workbookViewId="0">
      <selection activeCell="D27" sqref="D27"/>
    </sheetView>
  </sheetViews>
  <sheetFormatPr baseColWidth="8" defaultColWidth="9.140625" defaultRowHeight="15.75"/>
  <cols>
    <col width="9.140625" customWidth="1" style="165" min="1" max="2"/>
    <col width="51.7109375" customWidth="1" style="165" min="3" max="3"/>
    <col width="47" customWidth="1" style="165" min="4" max="4"/>
    <col width="37.42578125" customWidth="1" style="165" min="5" max="5"/>
    <col width="9.140625" customWidth="1" style="165" min="6" max="6"/>
  </cols>
  <sheetData>
    <row r="3">
      <c r="B3" s="180" t="inlineStr">
        <is>
          <t>Приложение № 1</t>
        </is>
      </c>
    </row>
    <row r="4">
      <c r="B4" s="181" t="inlineStr">
        <is>
          <t>Сравнительная таблица отбора объекта-представителя</t>
        </is>
      </c>
    </row>
    <row r="5" ht="84" customHeight="1" s="162">
      <c r="B5" s="18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2">
      <c r="B6" s="127" t="n"/>
      <c r="C6" s="127" t="n"/>
      <c r="D6" s="127" t="n"/>
    </row>
    <row r="7" ht="64.5" customHeight="1" s="162">
      <c r="B7" s="182" t="inlineStr">
        <is>
          <t>Наименование разрабатываемого показателя УНЦ — Строительно-монтажные работы ВЛ 0,4-750 кВ без опор и провода. Двухцепная, все типы опор за исключением многогранных 6-20 кВ.</t>
        </is>
      </c>
    </row>
    <row r="8" ht="31.5" customHeight="1" s="162">
      <c r="B8" s="182" t="inlineStr">
        <is>
          <t>Сопоставимый уровень цен:3 кв. 2018г</t>
        </is>
      </c>
    </row>
    <row r="9" ht="15.75" customHeight="1" s="162">
      <c r="B9" s="182" t="inlineStr">
        <is>
          <t>Единица измерения  — 1 км</t>
        </is>
      </c>
    </row>
    <row r="10">
      <c r="B10" s="182" t="n"/>
    </row>
    <row r="11">
      <c r="B11" s="186" t="inlineStr">
        <is>
          <t>№ п/п</t>
        </is>
      </c>
      <c r="C11" s="186" t="inlineStr">
        <is>
          <t>Параметр</t>
        </is>
      </c>
      <c r="D11" s="186" t="inlineStr">
        <is>
          <t xml:space="preserve">Объект-представитель </t>
        </is>
      </c>
      <c r="E11" s="103" t="n"/>
    </row>
    <row r="12" ht="96.75" customHeight="1" s="162">
      <c r="B12" s="186" t="n">
        <v>1</v>
      </c>
      <c r="C12" s="98" t="inlineStr">
        <is>
          <t>Наименование объекта-представителя</t>
        </is>
      </c>
      <c r="D12" s="157" t="inlineStr">
        <is>
          <t xml:space="preserve">ВЛ 10 ПС 35 Н.Хуторное </t>
        </is>
      </c>
    </row>
    <row r="13">
      <c r="B13" s="186" t="n">
        <v>2</v>
      </c>
      <c r="C13" s="98" t="inlineStr">
        <is>
          <t>Наименование субъекта Российской Федерации</t>
        </is>
      </c>
      <c r="D13" s="157" t="inlineStr">
        <is>
          <t>Белгородская область</t>
        </is>
      </c>
    </row>
    <row r="14">
      <c r="B14" s="186" t="n">
        <v>3</v>
      </c>
      <c r="C14" s="98" t="inlineStr">
        <is>
          <t>Климатический район и подрайон</t>
        </is>
      </c>
      <c r="D14" s="158" t="inlineStr">
        <is>
          <t>IIВ</t>
        </is>
      </c>
    </row>
    <row r="15">
      <c r="B15" s="186" t="n">
        <v>4</v>
      </c>
      <c r="C15" s="98" t="inlineStr">
        <is>
          <t>Мощность объекта</t>
        </is>
      </c>
      <c r="D15" s="157" t="n">
        <v>0.886</v>
      </c>
    </row>
    <row r="16" ht="116.25" customHeight="1" s="162">
      <c r="B16" s="186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7" t="inlineStr">
        <is>
          <t>Разрядник длинно-искровой петлевого типа РДИП-10-4 УХЛ1 - 46 шт.
Зажим оперативный ответвительный марки SL 30 - 60 шт.</t>
        </is>
      </c>
    </row>
    <row r="17" ht="79.5" customHeight="1" s="162">
      <c r="B17" s="186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2">
        <f>SUM(D18:D21)</f>
        <v/>
      </c>
      <c r="E17" s="126" t="n"/>
    </row>
    <row r="18">
      <c r="B18" s="102" t="inlineStr">
        <is>
          <t>6.1</t>
        </is>
      </c>
      <c r="C18" s="98" t="inlineStr">
        <is>
          <t>строительно-монтажные работы</t>
        </is>
      </c>
      <c r="D18" s="112">
        <f>'Прил.2 Расч стоим'!F14</f>
        <v/>
      </c>
    </row>
    <row r="19" ht="15.75" customHeight="1" s="162">
      <c r="B19" s="102" t="inlineStr">
        <is>
          <t>6.2</t>
        </is>
      </c>
      <c r="C19" s="98" t="inlineStr">
        <is>
          <t>оборудование и инвентарь</t>
        </is>
      </c>
      <c r="D19" s="112" t="n"/>
    </row>
    <row r="20" ht="16.5" customHeight="1" s="162">
      <c r="B20" s="102" t="inlineStr">
        <is>
          <t>6.3</t>
        </is>
      </c>
      <c r="C20" s="98" t="inlineStr">
        <is>
          <t>пусконаладочные работы</t>
        </is>
      </c>
      <c r="D20" s="112" t="n"/>
    </row>
    <row r="21" ht="35.25" customHeight="1" s="162">
      <c r="B21" s="102" t="inlineStr">
        <is>
          <t>6.4</t>
        </is>
      </c>
      <c r="C21" s="101" t="inlineStr">
        <is>
          <t>прочие и лимитированные затраты</t>
        </is>
      </c>
      <c r="D21" s="112" t="n"/>
    </row>
    <row r="22">
      <c r="B22" s="186" t="n">
        <v>7</v>
      </c>
      <c r="C22" s="101" t="inlineStr">
        <is>
          <t>Сопоставимый уровень цен</t>
        </is>
      </c>
      <c r="D22" s="149" t="inlineStr">
        <is>
          <t>3 кв. 2018г</t>
        </is>
      </c>
      <c r="E22" s="99" t="n"/>
    </row>
    <row r="23" ht="123" customHeight="1" s="162">
      <c r="B23" s="186" t="n">
        <v>8</v>
      </c>
      <c r="C23" s="10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2">
        <f>D17</f>
        <v/>
      </c>
      <c r="E23" s="126" t="n"/>
    </row>
    <row r="24" ht="60.75" customHeight="1" s="162">
      <c r="B24" s="186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12">
        <f>D23/D15</f>
        <v/>
      </c>
      <c r="E24" s="99" t="n"/>
    </row>
    <row r="25" ht="48" customHeight="1" s="162">
      <c r="B25" s="186" t="n">
        <v>10</v>
      </c>
      <c r="C25" s="98" t="inlineStr">
        <is>
          <t>Примечание</t>
        </is>
      </c>
      <c r="D25" s="186" t="n"/>
    </row>
    <row r="26">
      <c r="B26" s="97" t="n"/>
      <c r="C26" s="96" t="n"/>
      <c r="D26" s="96" t="n"/>
    </row>
    <row r="27" ht="37.5" customHeight="1" s="162">
      <c r="B27" s="155" t="n"/>
    </row>
    <row r="28">
      <c r="B28" s="165" t="inlineStr">
        <is>
          <t>Составил ______________________    Е. М. Добровольская</t>
        </is>
      </c>
    </row>
    <row r="29">
      <c r="B29" s="155" t="inlineStr">
        <is>
          <t xml:space="preserve">                         (подпись, инициалы, фамилия)</t>
        </is>
      </c>
    </row>
    <row r="31">
      <c r="B31" s="165" t="inlineStr">
        <is>
          <t>Проверил ______________________        А.В. Костянецкая</t>
        </is>
      </c>
    </row>
    <row r="32">
      <c r="B32" s="15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2" sqref="F22"/>
    </sheetView>
  </sheetViews>
  <sheetFormatPr baseColWidth="8" defaultColWidth="9.140625" defaultRowHeight="15.75"/>
  <cols>
    <col width="5.5703125" customWidth="1" style="165" min="1" max="1"/>
    <col width="9.140625" customWidth="1" style="165" min="2" max="2"/>
    <col width="35.28515625" customWidth="1" style="165" min="3" max="3"/>
    <col width="13.85546875" customWidth="1" style="165" min="4" max="4"/>
    <col width="24.85546875" customWidth="1" style="165" min="5" max="5"/>
    <col width="15.5703125" customWidth="1" style="165" min="6" max="6"/>
    <col width="14.85546875" customWidth="1" style="165" min="7" max="7"/>
    <col width="16.7109375" customWidth="1" style="165" min="8" max="8"/>
    <col width="13" customWidth="1" style="165" min="9" max="10"/>
    <col width="18" customWidth="1" style="165" min="11" max="11"/>
    <col width="9.140625" customWidth="1" style="165" min="12" max="12"/>
  </cols>
  <sheetData>
    <row r="3">
      <c r="B3" s="180" t="inlineStr">
        <is>
          <t>Приложение № 2</t>
        </is>
      </c>
      <c r="K3" s="155" t="n"/>
    </row>
    <row r="4">
      <c r="B4" s="181" t="inlineStr">
        <is>
          <t>Расчет стоимости основных видов работ для выбора объекта-представителя</t>
        </is>
      </c>
    </row>
    <row r="5">
      <c r="B5" s="104" t="n"/>
      <c r="C5" s="104" t="n"/>
      <c r="D5" s="104" t="n"/>
      <c r="E5" s="104" t="n"/>
      <c r="F5" s="104" t="n"/>
      <c r="G5" s="104" t="n"/>
      <c r="H5" s="104" t="n"/>
      <c r="I5" s="104" t="n"/>
      <c r="J5" s="104" t="n"/>
      <c r="K5" s="104" t="n"/>
    </row>
    <row r="6" ht="29.25" customHeight="1" s="162">
      <c r="B6" s="187" t="inlineStr">
        <is>
          <t>Наименование разрабатываемого показателя УНЦ — Строительно-монтажные работы ВЛ 0,4-750 кВ без опор и провода. Двухцепная, все типы опор за исключением многогранных 6-20 кВ.</t>
        </is>
      </c>
      <c r="K6" s="155" t="n"/>
    </row>
    <row r="7" ht="15.75" customHeight="1" s="162">
      <c r="B7" s="188" t="inlineStr">
        <is>
          <t>Единица измерения  — 1 км</t>
        </is>
      </c>
      <c r="K7" s="155" t="n"/>
    </row>
    <row r="8" ht="18.75" customHeight="1" s="162">
      <c r="B8" s="128" t="n"/>
    </row>
    <row r="9" ht="15.75" customHeight="1" s="162">
      <c r="B9" s="186" t="inlineStr">
        <is>
          <t>№ п/п</t>
        </is>
      </c>
      <c r="C9" s="18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86" t="inlineStr">
        <is>
          <t>Объект-представитель 1</t>
        </is>
      </c>
      <c r="E9" s="233" t="n"/>
      <c r="F9" s="233" t="n"/>
      <c r="G9" s="233" t="n"/>
      <c r="H9" s="233" t="n"/>
      <c r="I9" s="233" t="n"/>
      <c r="J9" s="234" t="n"/>
    </row>
    <row r="10" ht="15.75" customHeight="1" s="162">
      <c r="B10" s="235" t="n"/>
      <c r="C10" s="235" t="n"/>
      <c r="D10" s="186" t="inlineStr">
        <is>
          <t>Номер сметы</t>
        </is>
      </c>
      <c r="E10" s="186" t="inlineStr">
        <is>
          <t>Наименование сметы</t>
        </is>
      </c>
      <c r="F10" s="186" t="inlineStr">
        <is>
          <t>Сметная стоимость в уровне цен 3 кв. 2018 г., тыс. руб.</t>
        </is>
      </c>
      <c r="G10" s="233" t="n"/>
      <c r="H10" s="233" t="n"/>
      <c r="I10" s="233" t="n"/>
      <c r="J10" s="234" t="n"/>
    </row>
    <row r="11" ht="31.5" customHeight="1" s="162">
      <c r="B11" s="236" t="n"/>
      <c r="C11" s="236" t="n"/>
      <c r="D11" s="236" t="n"/>
      <c r="E11" s="236" t="n"/>
      <c r="F11" s="186" t="inlineStr">
        <is>
          <t>Строительные работы</t>
        </is>
      </c>
      <c r="G11" s="186" t="inlineStr">
        <is>
          <t>Монтажные работы</t>
        </is>
      </c>
      <c r="H11" s="186" t="inlineStr">
        <is>
          <t>Оборудование</t>
        </is>
      </c>
      <c r="I11" s="186" t="inlineStr">
        <is>
          <t>Прочее</t>
        </is>
      </c>
      <c r="J11" s="186" t="inlineStr">
        <is>
          <t>Всего</t>
        </is>
      </c>
    </row>
    <row r="12" ht="15" customHeight="1" s="162">
      <c r="B12" s="178" t="n"/>
      <c r="C12" s="178" t="n"/>
      <c r="D12" s="178" t="n"/>
      <c r="E12" s="178" t="n"/>
      <c r="F12" s="112" t="n">
        <v>1304.526789</v>
      </c>
      <c r="G12" s="234" t="n"/>
      <c r="H12" s="178" t="n"/>
      <c r="I12" s="178" t="n"/>
      <c r="J12" s="178" t="n"/>
    </row>
    <row r="13" ht="15" customHeight="1" s="162">
      <c r="B13" s="191" t="inlineStr">
        <is>
          <t>Всего по объекту:</t>
        </is>
      </c>
      <c r="C13" s="233" t="n"/>
      <c r="D13" s="233" t="n"/>
      <c r="E13" s="234" t="n"/>
      <c r="F13" s="179" t="n"/>
      <c r="G13" s="179" t="n"/>
      <c r="H13" s="179" t="n"/>
      <c r="I13" s="179" t="n"/>
      <c r="J13" s="179" t="n"/>
    </row>
    <row r="14" ht="15.75" customHeight="1" s="162">
      <c r="B14" s="191" t="inlineStr">
        <is>
          <t>Всего по объекту в сопоставимом уровне цен 3 кв. 2018г:</t>
        </is>
      </c>
      <c r="C14" s="233" t="n"/>
      <c r="D14" s="233" t="n"/>
      <c r="E14" s="234" t="n"/>
      <c r="F14" s="237" t="n">
        <v>1304.526789</v>
      </c>
      <c r="G14" s="234" t="n"/>
      <c r="H14" s="179" t="n"/>
      <c r="I14" s="179" t="n"/>
      <c r="J14" s="179" t="n"/>
    </row>
    <row r="15" ht="15" customHeight="1" s="162"/>
    <row r="16" ht="15" customHeight="1" s="162"/>
    <row r="17" ht="15" customHeight="1" s="162"/>
    <row r="18" ht="15" customHeight="1" s="162">
      <c r="C18" s="169" t="inlineStr">
        <is>
          <t>Составил ______________________     Е. М. Добровольская</t>
        </is>
      </c>
      <c r="D18" s="170" t="n"/>
      <c r="E18" s="170" t="n"/>
    </row>
    <row r="19" ht="15" customHeight="1" s="162">
      <c r="C19" s="172" t="inlineStr">
        <is>
          <t xml:space="preserve">                         (подпись, инициалы, фамилия)</t>
        </is>
      </c>
      <c r="D19" s="170" t="n"/>
      <c r="E19" s="170" t="n"/>
    </row>
    <row r="20" ht="15" customHeight="1" s="162">
      <c r="C20" s="169" t="n"/>
      <c r="D20" s="170" t="n"/>
      <c r="E20" s="170" t="n"/>
    </row>
    <row r="21" ht="15" customHeight="1" s="162">
      <c r="C21" s="169" t="inlineStr">
        <is>
          <t>Проверил ______________________        А.В. Костянецкая</t>
        </is>
      </c>
      <c r="D21" s="170" t="n"/>
      <c r="E21" s="170" t="n"/>
    </row>
    <row r="22" ht="15" customHeight="1" s="162">
      <c r="C22" s="172" t="inlineStr">
        <is>
          <t xml:space="preserve">                        (подпись, инициалы, фамилия)</t>
        </is>
      </c>
      <c r="D22" s="170" t="n"/>
      <c r="E22" s="170" t="n"/>
    </row>
    <row r="23" ht="15" customHeight="1" s="162"/>
    <row r="24" ht="15" customHeight="1" s="162"/>
    <row r="25" ht="15" customHeight="1" s="162"/>
    <row r="26" ht="15" customHeight="1" s="162"/>
    <row r="27" ht="15" customHeight="1" s="162"/>
    <row r="28" ht="15" customHeight="1" s="162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78"/>
  <sheetViews>
    <sheetView view="pageBreakPreview" zoomScale="55" zoomScaleSheetLayoutView="55" workbookViewId="0">
      <selection activeCell="E92" sqref="E92"/>
    </sheetView>
  </sheetViews>
  <sheetFormatPr baseColWidth="8" defaultColWidth="9.140625" defaultRowHeight="15.75"/>
  <cols>
    <col width="9.140625" customWidth="1" style="165" min="1" max="1"/>
    <col width="12.5703125" customWidth="1" style="165" min="2" max="2"/>
    <col width="22.42578125" customWidth="1" style="165" min="3" max="3"/>
    <col width="49.7109375" customWidth="1" style="165" min="4" max="4"/>
    <col width="10.140625" customWidth="1" style="165" min="5" max="5"/>
    <col width="20.7109375" customWidth="1" style="165" min="6" max="6"/>
    <col width="20" customWidth="1" style="165" min="7" max="7"/>
    <col width="18.85546875" customWidth="1" style="165" min="8" max="8"/>
    <col hidden="1" width="9.140625" customWidth="1" style="165" min="9" max="10"/>
    <col hidden="1" width="15" customWidth="1" style="165" min="11" max="11"/>
    <col hidden="1" width="9.140625" customWidth="1" style="165" min="12" max="12"/>
    <col width="9.140625" customWidth="1" style="165" min="13" max="13"/>
  </cols>
  <sheetData>
    <row r="2" s="162">
      <c r="A2" s="165" t="n"/>
      <c r="B2" s="165" t="n"/>
      <c r="C2" s="165" t="n"/>
      <c r="D2" s="165" t="n"/>
      <c r="E2" s="165" t="n"/>
      <c r="F2" s="165" t="n"/>
      <c r="G2" s="165" t="n"/>
      <c r="H2" s="165" t="n"/>
      <c r="I2" s="165" t="n"/>
      <c r="J2" s="165" t="n"/>
      <c r="K2" s="165" t="n"/>
      <c r="L2" s="165" t="n"/>
      <c r="M2" s="165" t="n"/>
    </row>
    <row r="3">
      <c r="A3" s="180" t="inlineStr">
        <is>
          <t xml:space="preserve">Приложение № 3 </t>
        </is>
      </c>
    </row>
    <row r="4">
      <c r="A4" s="181" t="inlineStr">
        <is>
          <t>Объектная ресурсная ведомость</t>
        </is>
      </c>
    </row>
    <row r="5" ht="18.75" customHeight="1" s="162">
      <c r="A5" s="143" t="n"/>
      <c r="B5" s="143" t="n"/>
      <c r="C5" s="19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182" t="n"/>
    </row>
    <row r="7" ht="30" customHeight="1" s="162">
      <c r="A7" s="187" t="inlineStr">
        <is>
          <t>Наименование разрабатываемого показателя УНЦ — Строительно-монтажные работы ВЛ 0,4-750 кВ без опор и провода. Двухцепная, все типы опор за исключением многогранных 6-20 кВ.</t>
        </is>
      </c>
    </row>
    <row r="8">
      <c r="A8" s="188" t="n"/>
      <c r="B8" s="188" t="n"/>
      <c r="C8" s="188" t="n"/>
      <c r="D8" s="188" t="n"/>
      <c r="E8" s="188" t="n"/>
      <c r="F8" s="188" t="n"/>
      <c r="G8" s="188" t="n"/>
      <c r="H8" s="188" t="n"/>
    </row>
    <row r="9" ht="38.25" customHeight="1" s="162">
      <c r="A9" s="186" t="inlineStr">
        <is>
          <t>п/п</t>
        </is>
      </c>
      <c r="B9" s="186" t="inlineStr">
        <is>
          <t>№ЛСР</t>
        </is>
      </c>
      <c r="C9" s="186" t="inlineStr">
        <is>
          <t>Код ресурса</t>
        </is>
      </c>
      <c r="D9" s="186" t="inlineStr">
        <is>
          <t>Наименование ресурса</t>
        </is>
      </c>
      <c r="E9" s="186" t="inlineStr">
        <is>
          <t>Ед. изм.</t>
        </is>
      </c>
      <c r="F9" s="186" t="inlineStr">
        <is>
          <t>Кол-во единиц по данным объекта-представителя</t>
        </is>
      </c>
      <c r="G9" s="186" t="inlineStr">
        <is>
          <t>Сметная стоимость в ценах на 01.01.2000 (руб.)</t>
        </is>
      </c>
      <c r="H9" s="234" t="n"/>
    </row>
    <row r="10" ht="40.5" customHeight="1" s="162">
      <c r="A10" s="236" t="n"/>
      <c r="B10" s="236" t="n"/>
      <c r="C10" s="236" t="n"/>
      <c r="D10" s="236" t="n"/>
      <c r="E10" s="236" t="n"/>
      <c r="F10" s="236" t="n"/>
      <c r="G10" s="186" t="inlineStr">
        <is>
          <t>на ед.изм.</t>
        </is>
      </c>
      <c r="H10" s="186" t="inlineStr">
        <is>
          <t>общая</t>
        </is>
      </c>
    </row>
    <row r="11">
      <c r="A11" s="111" t="n">
        <v>1</v>
      </c>
      <c r="B11" s="111" t="n"/>
      <c r="C11" s="111" t="n">
        <v>2</v>
      </c>
      <c r="D11" s="111" t="inlineStr">
        <is>
          <t>З</t>
        </is>
      </c>
      <c r="E11" s="111" t="n">
        <v>4</v>
      </c>
      <c r="F11" s="111" t="n">
        <v>5</v>
      </c>
      <c r="G11" s="111" t="n">
        <v>6</v>
      </c>
      <c r="H11" s="111" t="n">
        <v>7</v>
      </c>
    </row>
    <row r="12" customFormat="1" s="163">
      <c r="A12" s="193" t="inlineStr">
        <is>
          <t>Затраты труда рабочих</t>
        </is>
      </c>
      <c r="B12" s="233" t="n"/>
      <c r="C12" s="233" t="n"/>
      <c r="D12" s="233" t="n"/>
      <c r="E12" s="234" t="n"/>
      <c r="F12" s="135">
        <f>SUM(F13:F19)</f>
        <v/>
      </c>
      <c r="G12" s="136" t="n"/>
      <c r="H12" s="135">
        <f>SUM(H13:H19)</f>
        <v/>
      </c>
    </row>
    <row r="13">
      <c r="A13" s="137" t="n">
        <v>1</v>
      </c>
      <c r="B13" s="110" t="n"/>
      <c r="C13" s="137" t="inlineStr">
        <is>
          <t>1-3-3</t>
        </is>
      </c>
      <c r="D13" s="138" t="inlineStr">
        <is>
          <t>Затраты труда рабочих (ср 3,3)</t>
        </is>
      </c>
      <c r="E13" s="230" t="inlineStr">
        <is>
          <t>чел.час</t>
        </is>
      </c>
      <c r="F13" s="132" t="n">
        <v>256.061</v>
      </c>
      <c r="G13" s="134" t="n">
        <v>8.859999999999999</v>
      </c>
      <c r="H13" s="134">
        <f>ROUND(F13*G13,2)</f>
        <v/>
      </c>
      <c r="I13" s="165" t="n">
        <v>3.3</v>
      </c>
      <c r="J13" s="165">
        <f>I13*F13</f>
        <v/>
      </c>
    </row>
    <row r="14">
      <c r="A14" s="142" t="n">
        <v>2</v>
      </c>
      <c r="B14" s="110" t="n"/>
      <c r="C14" s="137" t="inlineStr">
        <is>
          <t>1-4-3</t>
        </is>
      </c>
      <c r="D14" s="138" t="inlineStr">
        <is>
          <t>Затраты труда рабочих (ср 4,3)</t>
        </is>
      </c>
      <c r="E14" s="230" t="inlineStr">
        <is>
          <t>чел.час</t>
        </is>
      </c>
      <c r="F14" s="132" t="n">
        <v>63.102</v>
      </c>
      <c r="G14" s="134" t="n">
        <v>10.06</v>
      </c>
      <c r="H14" s="134">
        <f>ROUND(F14*G14,2)</f>
        <v/>
      </c>
      <c r="I14" s="165" t="n">
        <v>4.3</v>
      </c>
      <c r="J14" s="165">
        <f>I14*F14</f>
        <v/>
      </c>
    </row>
    <row r="15">
      <c r="A15" s="230" t="n">
        <v>3</v>
      </c>
      <c r="B15" s="110" t="n"/>
      <c r="C15" s="137" t="inlineStr">
        <is>
          <t>1-3-9</t>
        </is>
      </c>
      <c r="D15" s="138" t="inlineStr">
        <is>
          <t>Затраты труда рабочих (ср 3,9)</t>
        </is>
      </c>
      <c r="E15" s="230" t="inlineStr">
        <is>
          <t>чел.час</t>
        </is>
      </c>
      <c r="F15" s="132" t="n">
        <v>63.401</v>
      </c>
      <c r="G15" s="134" t="n">
        <v>9.51</v>
      </c>
      <c r="H15" s="134">
        <f>ROUND(F15*G15,2)</f>
        <v/>
      </c>
      <c r="I15" s="165" t="n">
        <v>3.9</v>
      </c>
      <c r="J15" s="165">
        <f>I15*F15</f>
        <v/>
      </c>
    </row>
    <row r="16">
      <c r="A16" s="142" t="n">
        <v>4</v>
      </c>
      <c r="B16" s="110" t="n"/>
      <c r="C16" s="137" t="inlineStr">
        <is>
          <t>1-2-9</t>
        </is>
      </c>
      <c r="D16" s="138" t="inlineStr">
        <is>
          <t>Затраты труда рабочих (ср 2,9)</t>
        </is>
      </c>
      <c r="E16" s="230" t="inlineStr">
        <is>
          <t>чел.час</t>
        </is>
      </c>
      <c r="F16" s="132" t="n">
        <v>68.79600000000001</v>
      </c>
      <c r="G16" s="134" t="n">
        <v>8.460000000000001</v>
      </c>
      <c r="H16" s="134">
        <f>ROUND(F16*G16,2)</f>
        <v/>
      </c>
      <c r="I16" s="165" t="n">
        <v>2.9</v>
      </c>
      <c r="J16" s="165">
        <f>I16*F16</f>
        <v/>
      </c>
    </row>
    <row r="17">
      <c r="A17" s="230" t="n">
        <v>5</v>
      </c>
      <c r="B17" s="110" t="n"/>
      <c r="C17" s="137" t="inlineStr">
        <is>
          <t>1-4-0</t>
        </is>
      </c>
      <c r="D17" s="138" t="inlineStr">
        <is>
          <t>Затраты труда рабочих (ср 4)</t>
        </is>
      </c>
      <c r="E17" s="230" t="inlineStr">
        <is>
          <t>чел.час</t>
        </is>
      </c>
      <c r="F17" s="132" t="n">
        <v>37.752</v>
      </c>
      <c r="G17" s="134" t="n">
        <v>9.619999999999999</v>
      </c>
      <c r="H17" s="134">
        <f>ROUND(F17*G17,2)</f>
        <v/>
      </c>
      <c r="I17" s="165" t="n">
        <v>4</v>
      </c>
      <c r="J17" s="165">
        <f>I17*F17</f>
        <v/>
      </c>
    </row>
    <row r="18">
      <c r="A18" s="142" t="n">
        <v>6</v>
      </c>
      <c r="B18" s="110" t="n"/>
      <c r="C18" s="137" t="inlineStr">
        <is>
          <t>1-2-5</t>
        </is>
      </c>
      <c r="D18" s="138" t="inlineStr">
        <is>
          <t>Затраты труда рабочих (ср 2,5)</t>
        </is>
      </c>
      <c r="E18" s="230" t="inlineStr">
        <is>
          <t>чел.час</t>
        </is>
      </c>
      <c r="F18" s="132" t="n">
        <v>30.55</v>
      </c>
      <c r="G18" s="134" t="n">
        <v>8.17</v>
      </c>
      <c r="H18" s="134">
        <f>ROUND(F18*G18,2)</f>
        <v/>
      </c>
      <c r="I18" s="165" t="n">
        <v>2.5</v>
      </c>
      <c r="J18" s="165">
        <f>I18*F18</f>
        <v/>
      </c>
    </row>
    <row r="19">
      <c r="A19" s="230" t="n">
        <v>7</v>
      </c>
      <c r="B19" s="110" t="n"/>
      <c r="C19" s="137" t="inlineStr">
        <is>
          <t>1-3-6</t>
        </is>
      </c>
      <c r="D19" s="138" t="inlineStr">
        <is>
          <t>Затраты труда рабочих (ср 3,6)</t>
        </is>
      </c>
      <c r="E19" s="230" t="inlineStr">
        <is>
          <t>чел.час</t>
        </is>
      </c>
      <c r="F19" s="132" t="n">
        <v>5.135</v>
      </c>
      <c r="G19" s="134" t="n">
        <v>9.18</v>
      </c>
      <c r="H19" s="134">
        <f>ROUND(F19*G19,2)</f>
        <v/>
      </c>
      <c r="I19" s="165" t="n">
        <v>3.6</v>
      </c>
      <c r="J19" s="165">
        <f>I19*F19</f>
        <v/>
      </c>
    </row>
    <row r="20">
      <c r="A20" s="192" t="inlineStr">
        <is>
          <t>Затраты труда машинистов</t>
        </is>
      </c>
      <c r="B20" s="233" t="n"/>
      <c r="C20" s="233" t="n"/>
      <c r="D20" s="233" t="n"/>
      <c r="E20" s="234" t="n"/>
      <c r="F20" s="193" t="n"/>
      <c r="G20" s="108" t="n"/>
      <c r="H20" s="135">
        <f>H21</f>
        <v/>
      </c>
    </row>
    <row r="21">
      <c r="A21" s="230" t="n">
        <v>8</v>
      </c>
      <c r="B21" s="194" t="n"/>
      <c r="C21" s="137" t="n">
        <v>2</v>
      </c>
      <c r="D21" s="138" t="inlineStr">
        <is>
          <t>Затраты труда машинистов</t>
        </is>
      </c>
      <c r="E21" s="230" t="inlineStr">
        <is>
          <t>чел.-ч</t>
        </is>
      </c>
      <c r="F21" s="150" t="n">
        <v>110.76</v>
      </c>
      <c r="G21" s="134" t="n">
        <v>0</v>
      </c>
      <c r="H21" s="140" t="n">
        <v>1457.43</v>
      </c>
      <c r="J21" s="165">
        <f>SUM(J13:J19)</f>
        <v/>
      </c>
    </row>
    <row r="22" customFormat="1" s="163">
      <c r="A22" s="193" t="inlineStr">
        <is>
          <t>Машины и механизмы</t>
        </is>
      </c>
      <c r="B22" s="233" t="n"/>
      <c r="C22" s="233" t="n"/>
      <c r="D22" s="233" t="n"/>
      <c r="E22" s="234" t="n"/>
      <c r="F22" s="193" t="n"/>
      <c r="G22" s="108" t="n"/>
      <c r="H22" s="135">
        <f>SUM(H23:H30)</f>
        <v/>
      </c>
    </row>
    <row r="23" ht="25.5" customHeight="1" s="162">
      <c r="A23" s="230" t="n">
        <v>9</v>
      </c>
      <c r="B23" s="194" t="n"/>
      <c r="C23" s="137" t="inlineStr">
        <is>
          <t>91.04.01-031</t>
        </is>
      </c>
      <c r="D23" s="138" t="inlineStr">
        <is>
          <t>Машины бурильно-крановые на автомобиле, глубина бурения 3,5 м</t>
        </is>
      </c>
      <c r="E23" s="230" t="inlineStr">
        <is>
          <t>маш.-ч</t>
        </is>
      </c>
      <c r="F23" s="230" t="n">
        <v>37.32</v>
      </c>
      <c r="G23" s="141" t="n">
        <v>138.54</v>
      </c>
      <c r="H23" s="134">
        <f>ROUND(F23*G23,2)</f>
        <v/>
      </c>
      <c r="I23" s="145">
        <f>H23/$H$22</f>
        <v/>
      </c>
      <c r="J23" s="144">
        <f>J21/F12</f>
        <v/>
      </c>
      <c r="L23" s="145">
        <f>H23/$H$22</f>
        <v/>
      </c>
    </row>
    <row r="24" customFormat="1" s="163">
      <c r="A24" s="230" t="n">
        <v>10</v>
      </c>
      <c r="B24" s="194" t="n"/>
      <c r="C24" s="137" t="inlineStr">
        <is>
          <t>91.06.06-011</t>
        </is>
      </c>
      <c r="D24" s="138" t="inlineStr">
        <is>
          <t>Автогидроподъемники, высота подъема 12 м</t>
        </is>
      </c>
      <c r="E24" s="230" t="inlineStr">
        <is>
          <t>маш.-ч</t>
        </is>
      </c>
      <c r="F24" s="230" t="n">
        <v>35.64</v>
      </c>
      <c r="G24" s="141" t="n">
        <v>82.22</v>
      </c>
      <c r="H24" s="134">
        <f>ROUND(F24*G24,2)</f>
        <v/>
      </c>
      <c r="I24" s="145">
        <f>H24/$H$22</f>
        <v/>
      </c>
      <c r="L24" s="145">
        <f>H24/$H$22</f>
        <v/>
      </c>
    </row>
    <row r="25" ht="25.5" customHeight="1" s="162">
      <c r="A25" s="230" t="n">
        <v>11</v>
      </c>
      <c r="B25" s="194" t="n"/>
      <c r="C25" s="137" t="inlineStr">
        <is>
          <t>91.05.05-014</t>
        </is>
      </c>
      <c r="D25" s="138" t="inlineStr">
        <is>
          <t>Краны на автомобильном ходу, грузоподъемность 10 т</t>
        </is>
      </c>
      <c r="E25" s="230" t="inlineStr">
        <is>
          <t>маш.-ч</t>
        </is>
      </c>
      <c r="F25" s="230" t="n">
        <v>13.56</v>
      </c>
      <c r="G25" s="141" t="n">
        <v>111.99</v>
      </c>
      <c r="H25" s="134">
        <f>ROUND(F25*G25,2)</f>
        <v/>
      </c>
      <c r="I25" s="145">
        <f>H25/$H$22</f>
        <v/>
      </c>
      <c r="L25" s="145" t="n"/>
    </row>
    <row r="26" ht="25.5" customHeight="1" s="162">
      <c r="A26" s="230" t="n">
        <v>12</v>
      </c>
      <c r="B26" s="194" t="n"/>
      <c r="C26" s="137" t="inlineStr">
        <is>
          <t>91.15.03-014</t>
        </is>
      </c>
      <c r="D26" s="138" t="inlineStr">
        <is>
          <t>Тракторы на пневмоколесном ходу, мощность 59 кВт (80 л.с.)</t>
        </is>
      </c>
      <c r="E26" s="230" t="inlineStr">
        <is>
          <t>маш.-ч</t>
        </is>
      </c>
      <c r="F26" s="230" t="n">
        <v>19.24</v>
      </c>
      <c r="G26" s="141" t="n">
        <v>74.61</v>
      </c>
      <c r="H26" s="134">
        <f>ROUND(F26*G26,2)</f>
        <v/>
      </c>
      <c r="I26" s="145">
        <f>H26/$H$22</f>
        <v/>
      </c>
      <c r="L26" s="145" t="n"/>
    </row>
    <row r="27">
      <c r="A27" s="230" t="n">
        <v>13</v>
      </c>
      <c r="B27" s="194" t="n"/>
      <c r="C27" s="137" t="inlineStr">
        <is>
          <t>91.14.02-001</t>
        </is>
      </c>
      <c r="D27" s="138" t="inlineStr">
        <is>
          <t>Автомобили бортовые, грузоподъемность до 5 т</t>
        </is>
      </c>
      <c r="E27" s="230" t="inlineStr">
        <is>
          <t>маш.-ч</t>
        </is>
      </c>
      <c r="F27" s="230" t="n">
        <v>19.24</v>
      </c>
      <c r="G27" s="141" t="n">
        <v>65.70999999999999</v>
      </c>
      <c r="H27" s="134">
        <f>ROUND(F27*G27,2)</f>
        <v/>
      </c>
      <c r="I27" s="145">
        <f>H27/$H$22</f>
        <v/>
      </c>
      <c r="L27" s="145" t="n"/>
    </row>
    <row r="28" ht="25.5" customHeight="1" s="162">
      <c r="A28" s="230" t="n">
        <v>14</v>
      </c>
      <c r="B28" s="194" t="n"/>
      <c r="C28" s="137" t="inlineStr">
        <is>
          <t>91.17.04-036</t>
        </is>
      </c>
      <c r="D28" s="138" t="inlineStr">
        <is>
          <t>Агрегаты сварочные передвижные с дизельным двигателем, номинальный сварочный ток 250-400 А</t>
        </is>
      </c>
      <c r="E28" s="230" t="inlineStr">
        <is>
          <t>маш.-ч</t>
        </is>
      </c>
      <c r="F28" s="230" t="n">
        <v>14.7</v>
      </c>
      <c r="G28" s="141" t="n">
        <v>14</v>
      </c>
      <c r="H28" s="134">
        <f>ROUND(F28*G28,2)</f>
        <v/>
      </c>
      <c r="I28" s="145">
        <f>H28/$H$22</f>
        <v/>
      </c>
      <c r="L28" s="145" t="n"/>
    </row>
    <row r="29">
      <c r="A29" s="230" t="n">
        <v>15</v>
      </c>
      <c r="B29" s="194" t="n"/>
      <c r="C29" s="137" t="inlineStr">
        <is>
          <t>91.15.01-001</t>
        </is>
      </c>
      <c r="D29" s="138" t="inlineStr">
        <is>
          <t>Прицепы тракторные 2 т</t>
        </is>
      </c>
      <c r="E29" s="230" t="inlineStr">
        <is>
          <t>маш.-ч</t>
        </is>
      </c>
      <c r="F29" s="230" t="n">
        <v>12.8</v>
      </c>
      <c r="G29" s="141" t="n">
        <v>4.01</v>
      </c>
      <c r="H29" s="134">
        <f>ROUND(F29*G29,2)</f>
        <v/>
      </c>
      <c r="I29" s="145">
        <f>H29/$H$22</f>
        <v/>
      </c>
    </row>
    <row r="30" ht="25.5" customHeight="1" s="162">
      <c r="A30" s="230" t="n">
        <v>16</v>
      </c>
      <c r="B30" s="194" t="n"/>
      <c r="C30" s="137" t="inlineStr">
        <is>
          <t>91.17.04-233</t>
        </is>
      </c>
      <c r="D30" s="138" t="inlineStr">
        <is>
          <t>Установки для сварки ручной дуговой (постоянного тока)</t>
        </is>
      </c>
      <c r="E30" s="230" t="inlineStr">
        <is>
          <t>маш.-ч</t>
        </is>
      </c>
      <c r="F30" s="230" t="n">
        <v>0.23</v>
      </c>
      <c r="G30" s="141" t="n">
        <v>8.1</v>
      </c>
      <c r="H30" s="134">
        <f>ROUND(F30*G30,2)</f>
        <v/>
      </c>
    </row>
    <row r="31">
      <c r="A31" s="193" t="inlineStr">
        <is>
          <t>Материалы</t>
        </is>
      </c>
      <c r="B31" s="233" t="n"/>
      <c r="C31" s="233" t="n"/>
      <c r="D31" s="233" t="n"/>
      <c r="E31" s="234" t="n"/>
      <c r="F31" s="193" t="n"/>
      <c r="G31" s="108" t="n"/>
      <c r="H31" s="135">
        <f>SUM(H32:H71)</f>
        <v/>
      </c>
    </row>
    <row r="32">
      <c r="A32" s="142" t="n">
        <v>18</v>
      </c>
      <c r="B32" s="194" t="n"/>
      <c r="C32" s="204" t="inlineStr">
        <is>
          <t>22.2.01.03-0003</t>
        </is>
      </c>
      <c r="D32" s="211" t="inlineStr">
        <is>
          <t>Изолятор подвесной стеклянный ПСД-70Е</t>
        </is>
      </c>
      <c r="E32" s="204" t="inlineStr">
        <is>
          <t>шт</t>
        </is>
      </c>
      <c r="F32" s="78" t="n">
        <v>252</v>
      </c>
      <c r="G32" s="213" t="n">
        <v>169.25</v>
      </c>
      <c r="H32" s="134">
        <f>ROUND(F32*G32,2)</f>
        <v/>
      </c>
      <c r="I32" s="146">
        <f>H32/$H$31</f>
        <v/>
      </c>
      <c r="K32" s="145">
        <f>H32/$H$31</f>
        <v/>
      </c>
    </row>
    <row r="33" ht="38.25" customHeight="1" s="162">
      <c r="A33" s="142" t="n">
        <v>19</v>
      </c>
      <c r="B33" s="194" t="n"/>
      <c r="C33" s="204" t="inlineStr">
        <is>
          <t>62.1.03.01-1070</t>
        </is>
      </c>
      <c r="D33" s="211" t="inlineStr">
        <is>
          <t>Разрядники трубчатые переменного тока, номинальное напряжение 10 кВ, максимальный предел тока отключения 2,5 кА</t>
        </is>
      </c>
      <c r="E33" s="204" t="inlineStr">
        <is>
          <t>шт</t>
        </is>
      </c>
      <c r="F33" s="78" t="n">
        <v>46</v>
      </c>
      <c r="G33" s="213" t="n">
        <v>1485.93</v>
      </c>
      <c r="H33" s="134">
        <f>ROUND(F33*G33,2)</f>
        <v/>
      </c>
      <c r="I33" s="146">
        <f>H33/$H$31</f>
        <v/>
      </c>
    </row>
    <row r="34">
      <c r="A34" s="142" t="n">
        <v>20</v>
      </c>
      <c r="B34" s="194" t="n"/>
      <c r="C34" s="204" t="inlineStr">
        <is>
          <t>20.1.01.08-0001</t>
        </is>
      </c>
      <c r="D34" s="211" t="inlineStr">
        <is>
          <t>Зажим оперативный ответвительный марки SL 30</t>
        </is>
      </c>
      <c r="E34" s="204" t="inlineStr">
        <is>
          <t>100 шт</t>
        </is>
      </c>
      <c r="F34" s="78" t="n">
        <v>0.6</v>
      </c>
      <c r="G34" s="213" t="n">
        <v>53793</v>
      </c>
      <c r="H34" s="134">
        <f>ROUND(F34*G34,2)</f>
        <v/>
      </c>
      <c r="I34" s="146">
        <f>H34/$H$31</f>
        <v/>
      </c>
    </row>
    <row r="35">
      <c r="A35" s="142" t="n">
        <v>21</v>
      </c>
      <c r="B35" s="194" t="n"/>
      <c r="C35" s="204" t="inlineStr">
        <is>
          <t>07.2.02.05-0021</t>
        </is>
      </c>
      <c r="D35" s="211" t="inlineStr">
        <is>
          <t>Траверсы стальные</t>
        </is>
      </c>
      <c r="E35" s="204" t="inlineStr">
        <is>
          <t>т</t>
        </is>
      </c>
      <c r="F35" s="78" t="n">
        <v>1.3238</v>
      </c>
      <c r="G35" s="213" t="n">
        <v>10832.93</v>
      </c>
      <c r="H35" s="134">
        <f>ROUND(F35*G35,2)</f>
        <v/>
      </c>
      <c r="I35" s="146">
        <f>H35/$H$31</f>
        <v/>
      </c>
    </row>
    <row r="36">
      <c r="A36" s="142" t="n">
        <v>22</v>
      </c>
      <c r="B36" s="194" t="n"/>
      <c r="C36" s="204" t="inlineStr">
        <is>
          <t>20.5.04.04-0001</t>
        </is>
      </c>
      <c r="D36" s="211" t="inlineStr">
        <is>
          <t>Зажим натяжной болтовый НБ-2-6</t>
        </is>
      </c>
      <c r="E36" s="204" t="inlineStr">
        <is>
          <t>шт</t>
        </is>
      </c>
      <c r="F36" s="78" t="n">
        <v>126</v>
      </c>
      <c r="G36" s="213" t="n">
        <v>89.44</v>
      </c>
      <c r="H36" s="134">
        <f>ROUND(F36*G36,2)</f>
        <v/>
      </c>
      <c r="I36" s="146">
        <f>H36/$H$31</f>
        <v/>
      </c>
    </row>
    <row r="37" ht="25.5" customHeight="1" s="162">
      <c r="A37" s="142" t="n">
        <v>23</v>
      </c>
      <c r="B37" s="194" t="n"/>
      <c r="C37" s="204" t="inlineStr">
        <is>
          <t>20.2.08.07-0031</t>
        </is>
      </c>
      <c r="D37" s="211" t="inlineStr">
        <is>
          <t>Скоба П-образная для оперативных ответвительных зажимов SL 30, SL 36, марки PSS 924 (ENSTO)</t>
        </is>
      </c>
      <c r="E37" s="204" t="inlineStr">
        <is>
          <t>100 шт</t>
        </is>
      </c>
      <c r="F37" s="78" t="n">
        <v>0.3</v>
      </c>
      <c r="G37" s="213" t="n">
        <v>25876</v>
      </c>
      <c r="H37" s="134">
        <f>ROUND(F37*G37,2)</f>
        <v/>
      </c>
      <c r="I37" s="146" t="n"/>
    </row>
    <row r="38" ht="25.5" customHeight="1" s="162">
      <c r="A38" s="142" t="n">
        <v>24</v>
      </c>
      <c r="B38" s="194" t="n"/>
      <c r="C38" s="204" t="inlineStr">
        <is>
          <t>20.1.02.15-0011</t>
        </is>
      </c>
      <c r="D38" s="211" t="inlineStr">
        <is>
          <t>Соединитель алюминиевых и сталеалюминиевых проводов (СОАС) 062-3</t>
        </is>
      </c>
      <c r="E38" s="204" t="inlineStr">
        <is>
          <t>шт</t>
        </is>
      </c>
      <c r="F38" s="78" t="n">
        <v>87.39400000000001</v>
      </c>
      <c r="G38" s="213" t="n">
        <v>88.14</v>
      </c>
      <c r="H38" s="134">
        <f>ROUND(F38*G38,2)</f>
        <v/>
      </c>
      <c r="I38" s="146" t="n"/>
    </row>
    <row r="39">
      <c r="A39" s="142" t="n">
        <v>25</v>
      </c>
      <c r="B39" s="194" t="n"/>
      <c r="C39" s="204" t="inlineStr">
        <is>
          <t>22.2.01.04-0002</t>
        </is>
      </c>
      <c r="D39" s="211" t="inlineStr">
        <is>
          <t>Изолятор линейный штыревой фарфоровый ШФ 20-Г</t>
        </is>
      </c>
      <c r="E39" s="204" t="inlineStr">
        <is>
          <t>шт</t>
        </is>
      </c>
      <c r="F39" s="78" t="n">
        <v>122</v>
      </c>
      <c r="G39" s="213" t="n">
        <v>46.72</v>
      </c>
      <c r="H39" s="134">
        <f>ROUND(F39*G39,2)</f>
        <v/>
      </c>
      <c r="I39" s="146" t="n"/>
    </row>
    <row r="40">
      <c r="A40" s="142" t="n">
        <v>26</v>
      </c>
      <c r="B40" s="194" t="n"/>
      <c r="C40" s="204" t="inlineStr">
        <is>
          <t>22.2.02.04-0041</t>
        </is>
      </c>
      <c r="D40" s="211" t="inlineStr">
        <is>
          <t>Звено промежуточное трехлапчатое ПРТ-7-1</t>
        </is>
      </c>
      <c r="E40" s="204" t="inlineStr">
        <is>
          <t>шт</t>
        </is>
      </c>
      <c r="F40" s="78" t="n">
        <v>150</v>
      </c>
      <c r="G40" s="213" t="n">
        <v>36.42</v>
      </c>
      <c r="H40" s="134">
        <f>ROUND(F40*G40,2)</f>
        <v/>
      </c>
      <c r="I40" s="146" t="n"/>
    </row>
    <row r="41">
      <c r="A41" s="142" t="n">
        <v>27</v>
      </c>
      <c r="B41" s="194" t="n"/>
      <c r="C41" s="204" t="inlineStr">
        <is>
          <t>20.1.02.22-0005</t>
        </is>
      </c>
      <c r="D41" s="211" t="inlineStr">
        <is>
          <t>Ушко: однолапчатое У1-7-16</t>
        </is>
      </c>
      <c r="E41" s="204" t="inlineStr">
        <is>
          <t>шт</t>
        </is>
      </c>
      <c r="F41" s="78" t="n">
        <v>126</v>
      </c>
      <c r="G41" s="213" t="n">
        <v>39.32</v>
      </c>
      <c r="H41" s="134">
        <f>ROUND(F41*G41,2)</f>
        <v/>
      </c>
      <c r="I41" s="146" t="n"/>
    </row>
    <row r="42">
      <c r="A42" s="142" t="n">
        <v>28</v>
      </c>
      <c r="B42" s="194" t="n"/>
      <c r="C42" s="204" t="inlineStr">
        <is>
          <t>20.1.01.11-0022</t>
        </is>
      </c>
      <c r="D42" s="211" t="inlineStr">
        <is>
          <t>Зажим соединительный: плашечный ПС-2-1</t>
        </is>
      </c>
      <c r="E42" s="204" t="inlineStr">
        <is>
          <t>шт</t>
        </is>
      </c>
      <c r="F42" s="78" t="n">
        <v>300</v>
      </c>
      <c r="G42" s="213" t="n">
        <v>12.53</v>
      </c>
      <c r="H42" s="134">
        <f>ROUND(F42*G42,2)</f>
        <v/>
      </c>
      <c r="I42" s="146" t="n"/>
    </row>
    <row r="43" ht="25.5" customHeight="1" s="162">
      <c r="A43" s="142" t="n">
        <v>29</v>
      </c>
      <c r="B43" s="194" t="n"/>
      <c r="C43" s="204" t="inlineStr">
        <is>
          <t>07.2.07.13-0221</t>
        </is>
      </c>
      <c r="D43" s="211" t="inlineStr">
        <is>
          <t>Хомуты стальные</t>
        </is>
      </c>
      <c r="E43" s="204" t="inlineStr">
        <is>
          <t>кг</t>
        </is>
      </c>
      <c r="F43" s="78" t="n">
        <v>365.2</v>
      </c>
      <c r="G43" s="213" t="n">
        <v>9.6</v>
      </c>
      <c r="H43" s="134">
        <f>ROUND(F43*G43,2)</f>
        <v/>
      </c>
      <c r="I43" s="146" t="n"/>
    </row>
    <row r="44" ht="25.5" customHeight="1" s="162">
      <c r="A44" s="142" t="n">
        <v>30</v>
      </c>
      <c r="B44" s="194" t="n"/>
      <c r="C44" s="204" t="inlineStr">
        <is>
          <t>08.3.04.02-0095</t>
        </is>
      </c>
      <c r="D44" s="211" t="inlineStr">
        <is>
          <t>Круг стальной горячекатаный, марка стали ВСт3пс5-1, диаметр 16 мм</t>
        </is>
      </c>
      <c r="E44" s="204" t="inlineStr">
        <is>
          <t>т</t>
        </is>
      </c>
      <c r="F44" s="78" t="n">
        <v>0.6636</v>
      </c>
      <c r="G44" s="213" t="n">
        <v>5230.01</v>
      </c>
      <c r="H44" s="134">
        <f>ROUND(F44*G44,2)</f>
        <v/>
      </c>
      <c r="I44" s="146" t="n"/>
    </row>
    <row r="45">
      <c r="A45" s="142" t="n">
        <v>31</v>
      </c>
      <c r="B45" s="194" t="n"/>
      <c r="C45" s="204" t="inlineStr">
        <is>
          <t>22.2.02.14-0022</t>
        </is>
      </c>
      <c r="D45" s="211" t="inlineStr">
        <is>
          <t>Проволока стальная оцинкованная</t>
        </is>
      </c>
      <c r="E45" s="204" t="inlineStr">
        <is>
          <t>т</t>
        </is>
      </c>
      <c r="F45" s="78" t="n">
        <v>0.2</v>
      </c>
      <c r="G45" s="213" t="n">
        <v>10270</v>
      </c>
      <c r="H45" s="134">
        <f>ROUND(F45*G45,2)</f>
        <v/>
      </c>
      <c r="I45" s="146" t="n"/>
    </row>
    <row r="46">
      <c r="A46" s="142" t="n">
        <v>32</v>
      </c>
      <c r="B46" s="194" t="n"/>
      <c r="C46" s="204" t="inlineStr">
        <is>
          <t>20.2.02.04-0006</t>
        </is>
      </c>
      <c r="D46" s="211" t="inlineStr">
        <is>
          <t>Колпачки полиэтиленовые</t>
        </is>
      </c>
      <c r="E46" s="204" t="inlineStr">
        <is>
          <t>100 шт</t>
        </is>
      </c>
      <c r="F46" s="78" t="n">
        <v>2.52</v>
      </c>
      <c r="G46" s="213" t="n">
        <v>610</v>
      </c>
      <c r="H46" s="134">
        <f>ROUND(F46*G46,2)</f>
        <v/>
      </c>
      <c r="I46" s="146" t="n"/>
    </row>
    <row r="47">
      <c r="A47" s="142" t="n">
        <v>33</v>
      </c>
      <c r="B47" s="194" t="n"/>
      <c r="C47" s="204" t="inlineStr">
        <is>
          <t>20.2.06.05-0001</t>
        </is>
      </c>
      <c r="D47" s="211" t="inlineStr">
        <is>
          <t>Кронштейны</t>
        </is>
      </c>
      <c r="E47" s="204" t="inlineStr">
        <is>
          <t>кг</t>
        </is>
      </c>
      <c r="F47" s="78" t="n">
        <v>120</v>
      </c>
      <c r="G47" s="213" t="n">
        <v>9.119999999999999</v>
      </c>
      <c r="H47" s="134">
        <f>ROUND(F47*G47,2)</f>
        <v/>
      </c>
      <c r="I47" s="146" t="n"/>
    </row>
    <row r="48">
      <c r="A48" s="142" t="n">
        <v>34</v>
      </c>
      <c r="B48" s="194" t="n"/>
      <c r="C48" s="204" t="inlineStr">
        <is>
          <t>20.1.01.11-0004</t>
        </is>
      </c>
      <c r="D48" s="211" t="inlineStr">
        <is>
          <t>Зажим: плашечный соединительный ПА 2-2</t>
        </is>
      </c>
      <c r="E48" s="204" t="inlineStr">
        <is>
          <t>шт</t>
        </is>
      </c>
      <c r="F48" s="78" t="n">
        <v>118</v>
      </c>
      <c r="G48" s="213" t="n">
        <v>6.78</v>
      </c>
      <c r="H48" s="134">
        <f>ROUND(F48*G48,2)</f>
        <v/>
      </c>
      <c r="I48" s="146" t="n"/>
    </row>
    <row r="49" ht="25.5" customHeight="1" s="162">
      <c r="A49" s="142" t="n">
        <v>35</v>
      </c>
      <c r="B49" s="194" t="n"/>
      <c r="C49" s="204" t="inlineStr">
        <is>
          <t>20.1.01.02-0047</t>
        </is>
      </c>
      <c r="D49" s="211" t="inlineStr">
        <is>
          <t>Зажим аппаратный прессуемый: А2А-70-2</t>
        </is>
      </c>
      <c r="E49" s="204" t="inlineStr">
        <is>
          <t>100 шт</t>
        </is>
      </c>
      <c r="F49" s="78" t="n">
        <v>0.36</v>
      </c>
      <c r="G49" s="213" t="n">
        <v>2089</v>
      </c>
      <c r="H49" s="134">
        <f>ROUND(F49*G49,2)</f>
        <v/>
      </c>
      <c r="I49" s="146" t="n"/>
    </row>
    <row r="50" ht="25.5" customHeight="1" s="162">
      <c r="A50" s="142" t="n">
        <v>36</v>
      </c>
      <c r="B50" s="194" t="n"/>
      <c r="C50" s="204" t="inlineStr">
        <is>
          <t>08.3.04.02-0092</t>
        </is>
      </c>
      <c r="D50" s="211" t="inlineStr">
        <is>
          <t>Круг стальной горячекатаный, марка стали ВСт3пс5-1, диаметр 10 мм</t>
        </is>
      </c>
      <c r="E50" s="204" t="inlineStr">
        <is>
          <t>т</t>
        </is>
      </c>
      <c r="F50" s="78" t="n">
        <v>0.1034</v>
      </c>
      <c r="G50" s="213" t="n">
        <v>5230.01</v>
      </c>
      <c r="H50" s="134">
        <f>ROUND(F50*G50,2)</f>
        <v/>
      </c>
      <c r="I50" s="146" t="n"/>
      <c r="J50" s="165" t="n"/>
      <c r="K50" s="165" t="n"/>
      <c r="L50" s="165" t="n"/>
      <c r="M50" s="165" t="n"/>
    </row>
    <row r="51" ht="25.5" customHeight="1" s="162">
      <c r="A51" s="142" t="n">
        <v>37</v>
      </c>
      <c r="B51" s="194" t="n"/>
      <c r="C51" s="204" t="inlineStr">
        <is>
          <t>08.3.07.01-0035</t>
        </is>
      </c>
      <c r="D51" s="211" t="inlineStr">
        <is>
          <t>Сталь полосовая: 25х4 мм, марка Ст3сп</t>
        </is>
      </c>
      <c r="E51" s="204" t="inlineStr">
        <is>
          <t>т</t>
        </is>
      </c>
      <c r="F51" s="78" t="n">
        <v>0.0854</v>
      </c>
      <c r="G51" s="213" t="n">
        <v>6159.22</v>
      </c>
      <c r="H51" s="134">
        <f>ROUND(F51*G51,2)</f>
        <v/>
      </c>
      <c r="I51" s="146" t="n"/>
      <c r="J51" s="165" t="n"/>
      <c r="K51" s="165" t="n"/>
      <c r="L51" s="165" t="n"/>
      <c r="M51" s="165" t="n"/>
    </row>
    <row r="52" ht="25.5" customHeight="1" s="162">
      <c r="A52" s="142" t="n">
        <v>38</v>
      </c>
      <c r="B52" s="194" t="n"/>
      <c r="C52" s="204" t="inlineStr">
        <is>
          <t>10.1.02.03-0002</t>
        </is>
      </c>
      <c r="D52" s="211" t="inlineStr">
        <is>
          <t>Проволока алюминиевая, диаметр 3 мм</t>
        </is>
      </c>
      <c r="E52" s="204" t="inlineStr">
        <is>
          <t>т</t>
        </is>
      </c>
      <c r="F52" s="78" t="n">
        <v>0.0156</v>
      </c>
      <c r="G52" s="213" t="n">
        <v>29010.49</v>
      </c>
      <c r="H52" s="134">
        <f>ROUND(F52*G52,2)</f>
        <v/>
      </c>
      <c r="I52" s="146" t="n"/>
      <c r="J52" s="165" t="n"/>
      <c r="K52" s="165" t="n"/>
      <c r="L52" s="165" t="n"/>
      <c r="M52" s="165" t="n"/>
    </row>
    <row r="53" ht="38.25" customHeight="1" s="162">
      <c r="A53" s="142" t="n">
        <v>39</v>
      </c>
      <c r="B53" s="194" t="n"/>
      <c r="C53" s="204" t="inlineStr">
        <is>
          <t>25.2.02.11-0021</t>
        </is>
      </c>
      <c r="D53" s="211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E53" s="204" t="inlineStr">
        <is>
          <t>шт</t>
        </is>
      </c>
      <c r="F53" s="78" t="n">
        <v>0.4</v>
      </c>
      <c r="G53" s="213" t="n">
        <v>943.0599999999999</v>
      </c>
      <c r="H53" s="134">
        <f>ROUND(F53*G53,2)</f>
        <v/>
      </c>
      <c r="I53" s="146" t="n"/>
      <c r="J53" s="165" t="n"/>
      <c r="K53" s="165" t="n"/>
      <c r="L53" s="165" t="n"/>
      <c r="M53" s="165" t="n"/>
    </row>
    <row r="54">
      <c r="A54" s="142" t="n">
        <v>40</v>
      </c>
      <c r="B54" s="194" t="n"/>
      <c r="C54" s="204" t="inlineStr">
        <is>
          <t>20.2.02.03-0011</t>
        </is>
      </c>
      <c r="D54" s="211" t="inlineStr">
        <is>
          <t>Кожух защитный для соединений проводов</t>
        </is>
      </c>
      <c r="E54" s="204" t="inlineStr">
        <is>
          <t>шт</t>
        </is>
      </c>
      <c r="F54" s="78" t="n">
        <v>2</v>
      </c>
      <c r="G54" s="213" t="n">
        <v>161.1</v>
      </c>
      <c r="H54" s="134">
        <f>ROUND(F54*G54,2)</f>
        <v/>
      </c>
      <c r="I54" s="146" t="n"/>
    </row>
    <row r="55" ht="25.5" customHeight="1" s="162">
      <c r="A55" s="142" t="n">
        <v>41</v>
      </c>
      <c r="B55" s="194" t="n"/>
      <c r="C55" s="204" t="inlineStr">
        <is>
          <t>14.4.02.04-0015</t>
        </is>
      </c>
      <c r="D55" s="211" t="inlineStr">
        <is>
          <t>Краска масляная для внутренних работ МА-015, черная густотертая</t>
        </is>
      </c>
      <c r="E55" s="204" t="inlineStr">
        <is>
          <t>т</t>
        </is>
      </c>
      <c r="F55" s="78" t="n">
        <v>0.0168</v>
      </c>
      <c r="G55" s="213" t="n">
        <v>15707</v>
      </c>
      <c r="H55" s="134">
        <f>ROUND(F55*G55,2)</f>
        <v/>
      </c>
      <c r="I55" s="146" t="n"/>
    </row>
    <row r="56" ht="38.25" customHeight="1" s="162">
      <c r="A56" s="142" t="n">
        <v>42</v>
      </c>
      <c r="B56" s="194" t="n"/>
      <c r="C56" s="204" t="inlineStr">
        <is>
          <t>20.1.02.23-0082</t>
        </is>
      </c>
      <c r="D56" s="211" t="inlineStr">
        <is>
          <t>Перемычки гибкие, тип ПГС-50</t>
        </is>
      </c>
      <c r="E56" s="204" t="inlineStr">
        <is>
          <t>10 шт</t>
        </is>
      </c>
      <c r="F56" s="78" t="n">
        <v>4.646</v>
      </c>
      <c r="G56" s="213" t="n">
        <v>39</v>
      </c>
      <c r="H56" s="134">
        <f>ROUND(F56*G56,2)</f>
        <v/>
      </c>
      <c r="I56" s="146" t="n"/>
    </row>
    <row r="57">
      <c r="A57" s="142" t="n">
        <v>43</v>
      </c>
      <c r="B57" s="194" t="n"/>
      <c r="C57" s="204" t="inlineStr">
        <is>
          <t>20.1.02.23-0121</t>
        </is>
      </c>
      <c r="D57" s="211" t="inlineStr">
        <is>
          <t>Проводник заземляющий П-750</t>
        </is>
      </c>
      <c r="E57" s="204" t="inlineStr">
        <is>
          <t>шт</t>
        </is>
      </c>
      <c r="F57" s="78" t="n">
        <v>12</v>
      </c>
      <c r="G57" s="213" t="n">
        <v>13.55</v>
      </c>
      <c r="H57" s="134">
        <f>ROUND(F57*G57,2)</f>
        <v/>
      </c>
      <c r="I57" s="146" t="n"/>
    </row>
    <row r="58" ht="25.5" customHeight="1" s="162">
      <c r="A58" s="142" t="n">
        <v>44</v>
      </c>
      <c r="B58" s="194" t="n"/>
      <c r="C58" s="204" t="inlineStr">
        <is>
          <t>01.3.01.06-0038</t>
        </is>
      </c>
      <c r="D58" s="211" t="inlineStr">
        <is>
          <t>Смазка защитная электросетевая</t>
        </is>
      </c>
      <c r="E58" s="204" t="inlineStr">
        <is>
          <t>кг</t>
        </is>
      </c>
      <c r="F58" s="78" t="n">
        <v>8.6904</v>
      </c>
      <c r="G58" s="213" t="n">
        <v>14.4</v>
      </c>
      <c r="H58" s="134">
        <f>ROUND(F58*G58,2)</f>
        <v/>
      </c>
      <c r="I58" s="146" t="n"/>
    </row>
    <row r="59">
      <c r="A59" s="142" t="n">
        <v>45</v>
      </c>
      <c r="B59" s="194" t="n"/>
      <c r="C59" s="204" t="inlineStr">
        <is>
          <t>01.7.11.07-0032</t>
        </is>
      </c>
      <c r="D59" s="211" t="inlineStr">
        <is>
          <t>Электроды сварочные Э42, диаметр 4 мм</t>
        </is>
      </c>
      <c r="E59" s="204" t="inlineStr">
        <is>
          <t>т</t>
        </is>
      </c>
      <c r="F59" s="78" t="n">
        <v>0.007</v>
      </c>
      <c r="G59" s="213" t="n">
        <v>10315.01</v>
      </c>
      <c r="H59" s="134">
        <f>ROUND(F59*G59,2)</f>
        <v/>
      </c>
      <c r="I59" s="146" t="n"/>
    </row>
    <row r="60" ht="25.5" customHeight="1" s="162">
      <c r="A60" s="142" t="n">
        <v>46</v>
      </c>
      <c r="B60" s="194" t="n"/>
      <c r="C60" s="204" t="inlineStr">
        <is>
          <t>25.2.02.11-0051</t>
        </is>
      </c>
      <c r="D60" s="211" t="inlineStr">
        <is>
          <t>Скрепа для фиксации на промежуточных опорах, размер 20 мм</t>
        </is>
      </c>
      <c r="E60" s="204" t="inlineStr">
        <is>
          <t>100 шт</t>
        </is>
      </c>
      <c r="F60" s="78" t="n">
        <v>0.12</v>
      </c>
      <c r="G60" s="213" t="n">
        <v>582</v>
      </c>
      <c r="H60" s="134">
        <f>ROUND(F60*G60,2)</f>
        <v/>
      </c>
      <c r="I60" s="146" t="n"/>
    </row>
    <row r="61">
      <c r="A61" s="142" t="n">
        <v>47</v>
      </c>
      <c r="B61" s="194" t="n"/>
      <c r="C61" s="204" t="inlineStr">
        <is>
          <t>14.4.03.03-0102</t>
        </is>
      </c>
      <c r="D61" s="211" t="inlineStr">
        <is>
          <t>Лак битумный БТ-577</t>
        </is>
      </c>
      <c r="E61" s="204" t="inlineStr">
        <is>
          <t>т</t>
        </is>
      </c>
      <c r="F61" s="78" t="n">
        <v>0.0072</v>
      </c>
      <c r="G61" s="213" t="n">
        <v>9550.01</v>
      </c>
      <c r="H61" s="134">
        <f>ROUND(F61*G61,2)</f>
        <v/>
      </c>
      <c r="I61" s="146">
        <f>H61/$H$31</f>
        <v/>
      </c>
    </row>
    <row r="62" ht="25.5" customHeight="1" s="162">
      <c r="A62" s="142" t="n">
        <v>48</v>
      </c>
      <c r="B62" s="194" t="n"/>
      <c r="C62" s="204" t="inlineStr">
        <is>
          <t>25.2.02.01-0011</t>
        </is>
      </c>
      <c r="D62" s="211" t="inlineStr">
        <is>
          <t>Болт специальный для крепления с гайкой и шайбой, диаметр 12-16 мм, длина 400 мм</t>
        </is>
      </c>
      <c r="E62" s="204" t="inlineStr">
        <is>
          <t>т</t>
        </is>
      </c>
      <c r="F62" s="78" t="n">
        <v>0.0042</v>
      </c>
      <c r="G62" s="213" t="n">
        <v>12539.84</v>
      </c>
      <c r="H62" s="134">
        <f>ROUND(F62*G62,2)</f>
        <v/>
      </c>
      <c r="I62" s="146">
        <f>H62/$H$31</f>
        <v/>
      </c>
    </row>
    <row r="63" ht="25.5" customFormat="1" customHeight="1" s="163">
      <c r="A63" s="142" t="n">
        <v>49</v>
      </c>
      <c r="B63" s="194" t="n"/>
      <c r="C63" s="204" t="inlineStr">
        <is>
          <t>01.7.15.03-0042</t>
        </is>
      </c>
      <c r="D63" s="211" t="inlineStr">
        <is>
          <t>Болты с гайками и шайбами строительные</t>
        </is>
      </c>
      <c r="E63" s="204" t="inlineStr">
        <is>
          <t>кг</t>
        </is>
      </c>
      <c r="F63" s="78" t="n">
        <v>4.924</v>
      </c>
      <c r="G63" s="213" t="n">
        <v>9.039999999999999</v>
      </c>
      <c r="H63" s="134">
        <f>ROUND(F63*G63,2)</f>
        <v/>
      </c>
      <c r="I63" s="146">
        <f>H63/$H$31</f>
        <v/>
      </c>
    </row>
    <row r="64">
      <c r="A64" s="142" t="n">
        <v>50</v>
      </c>
      <c r="B64" s="194" t="n"/>
      <c r="C64" s="204" t="inlineStr">
        <is>
          <t>01.7.15.07-0014</t>
        </is>
      </c>
      <c r="D64" s="211" t="inlineStr">
        <is>
          <t>Дюбели распорные полипропиленовые</t>
        </is>
      </c>
      <c r="E64" s="204" t="inlineStr">
        <is>
          <t>100 шт</t>
        </is>
      </c>
      <c r="F64" s="78" t="n">
        <v>0.4646</v>
      </c>
      <c r="G64" s="213" t="n">
        <v>86</v>
      </c>
      <c r="H64" s="134">
        <f>ROUND(F64*G64,2)</f>
        <v/>
      </c>
      <c r="I64" s="146">
        <f>H64/$H$31</f>
        <v/>
      </c>
    </row>
    <row r="65" ht="25.5" customHeight="1" s="162">
      <c r="A65" s="142" t="n">
        <v>51</v>
      </c>
      <c r="B65" s="194" t="n"/>
      <c r="C65" s="204" t="inlineStr">
        <is>
          <t>14.4.02.09-0001</t>
        </is>
      </c>
      <c r="D65" s="211" t="inlineStr">
        <is>
          <t>Краска</t>
        </is>
      </c>
      <c r="E65" s="204" t="inlineStr">
        <is>
          <t>кг</t>
        </is>
      </c>
      <c r="F65" s="78" t="n">
        <v>0.9292</v>
      </c>
      <c r="G65" s="213" t="n">
        <v>28.6</v>
      </c>
      <c r="H65" s="134">
        <f>ROUND(F65*G65,2)</f>
        <v/>
      </c>
      <c r="I65" s="146">
        <f>H65/$H$31</f>
        <v/>
      </c>
      <c r="K65" s="145">
        <f>H65/$H$31</f>
        <v/>
      </c>
    </row>
    <row r="66">
      <c r="A66" s="142" t="n">
        <v>52</v>
      </c>
      <c r="B66" s="194" t="n"/>
      <c r="C66" s="204" t="inlineStr">
        <is>
          <t>08.3.03.06-0001</t>
        </is>
      </c>
      <c r="D66" s="211" t="inlineStr">
        <is>
          <t>Проволока вязальная</t>
        </is>
      </c>
      <c r="E66" s="204" t="inlineStr">
        <is>
          <t>кг</t>
        </is>
      </c>
      <c r="F66" s="78" t="n">
        <v>2.5872</v>
      </c>
      <c r="G66" s="213" t="n">
        <v>9.5</v>
      </c>
      <c r="H66" s="134">
        <f>ROUND(F66*G66,2)</f>
        <v/>
      </c>
      <c r="I66" s="146" t="n"/>
      <c r="K66" s="145">
        <f>H66/$H$31</f>
        <v/>
      </c>
    </row>
    <row r="67">
      <c r="A67" s="142" t="n">
        <v>53</v>
      </c>
      <c r="B67" s="194" t="n"/>
      <c r="C67" s="204" t="inlineStr">
        <is>
          <t>14.5.09.11-0102</t>
        </is>
      </c>
      <c r="D67" s="211" t="inlineStr">
        <is>
          <t>Уайт-спирит</t>
        </is>
      </c>
      <c r="E67" s="204" t="inlineStr">
        <is>
          <t>кг</t>
        </is>
      </c>
      <c r="F67" s="78" t="n">
        <v>3</v>
      </c>
      <c r="G67" s="213" t="n">
        <v>6.67</v>
      </c>
      <c r="H67" s="134">
        <f>ROUND(F67*G67,2)</f>
        <v/>
      </c>
      <c r="I67" s="146" t="n"/>
      <c r="K67" s="145">
        <f>H67/$H$31</f>
        <v/>
      </c>
    </row>
    <row r="68">
      <c r="A68" s="142" t="n">
        <v>54</v>
      </c>
      <c r="B68" s="194" t="n"/>
      <c r="C68" s="204" t="inlineStr">
        <is>
          <t>01.3.01.06-0046</t>
        </is>
      </c>
      <c r="D68" s="211" t="inlineStr">
        <is>
          <t>Смазка солидол жировой марки «Ж»</t>
        </is>
      </c>
      <c r="E68" s="204" t="inlineStr">
        <is>
          <t>т</t>
        </is>
      </c>
      <c r="F68" s="78" t="n">
        <v>0.002</v>
      </c>
      <c r="G68" s="213" t="n">
        <v>9661.5</v>
      </c>
      <c r="H68" s="134">
        <f>ROUND(F68*G68,2)</f>
        <v/>
      </c>
    </row>
    <row r="69">
      <c r="A69" s="142" t="n">
        <v>55</v>
      </c>
      <c r="B69" s="194" t="n"/>
      <c r="C69" s="204" t="inlineStr">
        <is>
          <t>01.3.01.01-0010</t>
        </is>
      </c>
      <c r="D69" s="211" t="inlineStr">
        <is>
          <t>Бензин-растворитель</t>
        </is>
      </c>
      <c r="E69" s="204" t="inlineStr">
        <is>
          <t>кг</t>
        </is>
      </c>
      <c r="F69" s="78" t="n">
        <v>1.6</v>
      </c>
      <c r="G69" s="213" t="n">
        <v>6.15</v>
      </c>
      <c r="H69" s="134">
        <f>ROUND(F69*G69,2)</f>
        <v/>
      </c>
    </row>
    <row r="70">
      <c r="A70" s="142" t="n">
        <v>56</v>
      </c>
      <c r="B70" s="194" t="n"/>
      <c r="C70" s="204" t="inlineStr">
        <is>
          <t>01.7.20.08-0051</t>
        </is>
      </c>
      <c r="D70" s="211" t="inlineStr">
        <is>
          <t>Ветошь</t>
        </is>
      </c>
      <c r="E70" s="204" t="inlineStr">
        <is>
          <t>кг</t>
        </is>
      </c>
      <c r="F70" s="78" t="n">
        <v>2.7252</v>
      </c>
      <c r="G70" s="213" t="n">
        <v>1.82</v>
      </c>
      <c r="H70" s="134">
        <f>ROUND(F70*G70,2)</f>
        <v/>
      </c>
    </row>
    <row r="71" ht="25.5" customHeight="1" s="162">
      <c r="A71" s="142" t="n">
        <v>57</v>
      </c>
      <c r="B71" s="194" t="n"/>
      <c r="C71" s="204" t="inlineStr">
        <is>
          <t>999-9950</t>
        </is>
      </c>
      <c r="D71" s="211" t="inlineStr">
        <is>
          <t>Вспомогательные ненормируемые ресурсы (2% от Оплаты труда рабочих)</t>
        </is>
      </c>
      <c r="E71" s="204" t="inlineStr">
        <is>
          <t>руб.</t>
        </is>
      </c>
      <c r="F71" s="78" t="n">
        <v>1.3938</v>
      </c>
      <c r="G71" s="213" t="n">
        <v>1</v>
      </c>
      <c r="H71" s="134">
        <f>ROUND(F71*G71,2)</f>
        <v/>
      </c>
    </row>
    <row r="74">
      <c r="B74" s="165" t="inlineStr">
        <is>
          <t>Составил ______________________     Е. М. Добровольская</t>
        </is>
      </c>
    </row>
    <row r="75">
      <c r="B75" s="155" t="inlineStr">
        <is>
          <t xml:space="preserve">                         (подпись, инициалы, фамилия)</t>
        </is>
      </c>
    </row>
    <row r="77">
      <c r="B77" s="165" t="inlineStr">
        <is>
          <t>Проверил ______________________        А.В. Костянецкая</t>
        </is>
      </c>
    </row>
    <row r="78">
      <c r="B78" s="155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C9:C10"/>
    <mergeCell ref="A12:E12"/>
    <mergeCell ref="A20:E20"/>
    <mergeCell ref="D9:D10"/>
    <mergeCell ref="A7:H7"/>
    <mergeCell ref="A9:A10"/>
    <mergeCell ref="E9:E10"/>
    <mergeCell ref="F9:F10"/>
    <mergeCell ref="C5:H5"/>
    <mergeCell ref="A31:E31"/>
    <mergeCell ref="G9:H9"/>
    <mergeCell ref="A22:E22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E45" sqref="E45"/>
    </sheetView>
  </sheetViews>
  <sheetFormatPr baseColWidth="8" defaultRowHeight="15"/>
  <cols>
    <col width="4.140625" customWidth="1" style="162" min="1" max="1"/>
    <col width="36.28515625" customWidth="1" style="162" min="2" max="2"/>
    <col width="18.85546875" customWidth="1" style="162" min="3" max="3"/>
    <col width="18.28515625" customWidth="1" style="162" min="4" max="4"/>
    <col width="18.85546875" customWidth="1" style="162" min="5" max="5"/>
    <col width="9.140625" customWidth="1" style="162" min="6" max="6"/>
    <col width="13.42578125" customWidth="1" style="162" min="7" max="7"/>
    <col width="9.140625" customWidth="1" style="162" min="8" max="11"/>
    <col width="13.5703125" customWidth="1" style="162" min="12" max="12"/>
    <col width="9.140625" customWidth="1" style="162" min="13" max="13"/>
  </cols>
  <sheetData>
    <row r="1">
      <c r="B1" s="169" t="n"/>
      <c r="C1" s="169" t="n"/>
      <c r="D1" s="169" t="n"/>
      <c r="E1" s="169" t="n"/>
    </row>
    <row r="2">
      <c r="B2" s="169" t="n"/>
      <c r="C2" s="169" t="n"/>
      <c r="D2" s="169" t="n"/>
      <c r="E2" s="225" t="inlineStr">
        <is>
          <t>Приложение № 4</t>
        </is>
      </c>
    </row>
    <row r="3">
      <c r="B3" s="169" t="n"/>
      <c r="C3" s="169" t="n"/>
      <c r="D3" s="169" t="n"/>
      <c r="E3" s="169" t="n"/>
    </row>
    <row r="4">
      <c r="B4" s="169" t="n"/>
      <c r="C4" s="169" t="n"/>
      <c r="D4" s="169" t="n"/>
      <c r="E4" s="169" t="n"/>
    </row>
    <row r="5">
      <c r="B5" s="197" t="inlineStr">
        <is>
          <t>Ресурсная модель</t>
        </is>
      </c>
    </row>
    <row r="6">
      <c r="B6" s="124" t="n"/>
      <c r="C6" s="169" t="n"/>
      <c r="D6" s="169" t="n"/>
      <c r="E6" s="169" t="n"/>
    </row>
    <row r="7" ht="25.5" customHeight="1" s="162">
      <c r="B7" s="198" t="inlineStr">
        <is>
          <t>Наименование разрабатываемого показателя УНЦ — Строительно-монтажные работы ВЛ 0,4-750 кВ без опор и провода. Двухцепная, все типы опор за исключением многогранных 6-20 кВ.</t>
        </is>
      </c>
    </row>
    <row r="8">
      <c r="B8" s="199" t="inlineStr">
        <is>
          <t>Единица измерения  — 1 км</t>
        </is>
      </c>
    </row>
    <row r="9">
      <c r="B9" s="124" t="n"/>
      <c r="C9" s="169" t="n"/>
      <c r="D9" s="169" t="n"/>
      <c r="E9" s="169" t="n"/>
    </row>
    <row r="10" ht="51" customHeight="1" s="162">
      <c r="B10" s="204" t="inlineStr">
        <is>
          <t>Наименование</t>
        </is>
      </c>
      <c r="C10" s="204" t="inlineStr">
        <is>
          <t>Сметная стоимость в ценах на 01.01.2023
 (руб.)</t>
        </is>
      </c>
      <c r="D10" s="204" t="inlineStr">
        <is>
          <t>Удельный вес, 
(в СМР)</t>
        </is>
      </c>
      <c r="E10" s="204" t="inlineStr">
        <is>
          <t>Удельный вес, % 
(от всего по РМ)</t>
        </is>
      </c>
    </row>
    <row r="11">
      <c r="B11" s="116" t="inlineStr">
        <is>
          <t>Оплата труда рабочих</t>
        </is>
      </c>
      <c r="C11" s="117">
        <f>'Прил.5 Расчет СМР и ОБ'!J14</f>
        <v/>
      </c>
      <c r="D11" s="118">
        <f>C11/$C$24</f>
        <v/>
      </c>
      <c r="E11" s="118">
        <f>C11/$C$40</f>
        <v/>
      </c>
    </row>
    <row r="12">
      <c r="B12" s="116" t="inlineStr">
        <is>
          <t>Эксплуатация машин основных</t>
        </is>
      </c>
      <c r="C12" s="117">
        <f>'Прил.5 Расчет СМР и ОБ'!J23</f>
        <v/>
      </c>
      <c r="D12" s="118">
        <f>C12/$C$24</f>
        <v/>
      </c>
      <c r="E12" s="118">
        <f>C12/$C$40</f>
        <v/>
      </c>
    </row>
    <row r="13">
      <c r="B13" s="116" t="inlineStr">
        <is>
          <t>Эксплуатация машин прочих</t>
        </is>
      </c>
      <c r="C13" s="117">
        <f>'Прил.5 Расчет СМР и ОБ'!J28</f>
        <v/>
      </c>
      <c r="D13" s="118">
        <f>C13/$C$24</f>
        <v/>
      </c>
      <c r="E13" s="118">
        <f>C13/$C$40</f>
        <v/>
      </c>
    </row>
    <row r="14">
      <c r="B14" s="116" t="inlineStr">
        <is>
          <t>ЭКСПЛУАТАЦИЯ МАШИН, ВСЕГО:</t>
        </is>
      </c>
      <c r="C14" s="117">
        <f>C13+C12</f>
        <v/>
      </c>
      <c r="D14" s="118">
        <f>C14/$C$24</f>
        <v/>
      </c>
      <c r="E14" s="118">
        <f>C14/$C$40</f>
        <v/>
      </c>
    </row>
    <row r="15">
      <c r="B15" s="116" t="inlineStr">
        <is>
          <t>в том числе зарплата машинистов</t>
        </is>
      </c>
      <c r="C15" s="117">
        <f>'Прил.5 Расчет СМР и ОБ'!J16</f>
        <v/>
      </c>
      <c r="D15" s="118">
        <f>C15/$C$24</f>
        <v/>
      </c>
      <c r="E15" s="118">
        <f>C15/$C$40</f>
        <v/>
      </c>
    </row>
    <row r="16">
      <c r="B16" s="116" t="inlineStr">
        <is>
          <t>Материалы основные</t>
        </is>
      </c>
      <c r="C16" s="117">
        <f>'Прил.5 Расчет СМР и ОБ'!J43</f>
        <v/>
      </c>
      <c r="D16" s="118">
        <f>C16/$C$24</f>
        <v/>
      </c>
      <c r="E16" s="118">
        <f>C16/$C$40</f>
        <v/>
      </c>
    </row>
    <row r="17">
      <c r="B17" s="116" t="inlineStr">
        <is>
          <t>Материалы прочие</t>
        </is>
      </c>
      <c r="C17" s="117">
        <f>'Прил.5 Расчет СМР и ОБ'!J79</f>
        <v/>
      </c>
      <c r="D17" s="118">
        <f>C17/$C$24</f>
        <v/>
      </c>
      <c r="E17" s="118">
        <f>C17/$C$40</f>
        <v/>
      </c>
      <c r="G17" s="122" t="n"/>
    </row>
    <row r="18">
      <c r="B18" s="116" t="inlineStr">
        <is>
          <t>МАТЕРИАЛЫ, ВСЕГО:</t>
        </is>
      </c>
      <c r="C18" s="117">
        <f>C17+C16</f>
        <v/>
      </c>
      <c r="D18" s="118">
        <f>C18/$C$24</f>
        <v/>
      </c>
      <c r="E18" s="118">
        <f>C18/$C$40</f>
        <v/>
      </c>
    </row>
    <row r="19">
      <c r="B19" s="116" t="inlineStr">
        <is>
          <t>ИТОГО</t>
        </is>
      </c>
      <c r="C19" s="117">
        <f>C18+C14+C11</f>
        <v/>
      </c>
      <c r="D19" s="118" t="n"/>
      <c r="E19" s="116" t="n"/>
    </row>
    <row r="20">
      <c r="B20" s="116" t="inlineStr">
        <is>
          <t>Сметная прибыль, руб.</t>
        </is>
      </c>
      <c r="C20" s="117">
        <f>ROUND(C21*(C11+C15),2)</f>
        <v/>
      </c>
      <c r="D20" s="118">
        <f>C20/$C$24</f>
        <v/>
      </c>
      <c r="E20" s="118">
        <f>C20/$C$40</f>
        <v/>
      </c>
    </row>
    <row r="21">
      <c r="B21" s="116" t="inlineStr">
        <is>
          <t>Сметная прибыль, %</t>
        </is>
      </c>
      <c r="C21" s="121">
        <f>'Прил.5 Расчет СМР и ОБ'!D83</f>
        <v/>
      </c>
      <c r="D21" s="118" t="n"/>
      <c r="E21" s="116" t="n"/>
    </row>
    <row r="22">
      <c r="B22" s="116" t="inlineStr">
        <is>
          <t>Накладные расходы, руб.</t>
        </is>
      </c>
      <c r="C22" s="117">
        <f>ROUND(C23*(C11+C15),2)</f>
        <v/>
      </c>
      <c r="D22" s="118">
        <f>C22/$C$24</f>
        <v/>
      </c>
      <c r="E22" s="118">
        <f>C22/$C$40</f>
        <v/>
      </c>
    </row>
    <row r="23">
      <c r="B23" s="116" t="inlineStr">
        <is>
          <t>Накладные расходы, %</t>
        </is>
      </c>
      <c r="C23" s="121">
        <f>'Прил.5 Расчет СМР и ОБ'!D82</f>
        <v/>
      </c>
      <c r="D23" s="118" t="n"/>
      <c r="E23" s="116" t="n"/>
    </row>
    <row r="24">
      <c r="B24" s="116" t="inlineStr">
        <is>
          <t>ВСЕГО СМР с НР и СП</t>
        </is>
      </c>
      <c r="C24" s="117">
        <f>C19+C20+C22</f>
        <v/>
      </c>
      <c r="D24" s="118">
        <f>C24/$C$24</f>
        <v/>
      </c>
      <c r="E24" s="118">
        <f>C24/$C$40</f>
        <v/>
      </c>
    </row>
    <row r="25" ht="25.5" customHeight="1" s="162">
      <c r="B25" s="116" t="inlineStr">
        <is>
          <t>ВСЕГО стоимость оборудования, в том числе</t>
        </is>
      </c>
      <c r="C25" s="117">
        <f>'Прил.5 Расчет СМР и ОБ'!J34</f>
        <v/>
      </c>
      <c r="D25" s="118" t="n"/>
      <c r="E25" s="118">
        <f>C25/$C$40</f>
        <v/>
      </c>
    </row>
    <row r="26" ht="25.5" customHeight="1" s="162">
      <c r="B26" s="116" t="inlineStr">
        <is>
          <t>стоимость оборудования технологического</t>
        </is>
      </c>
      <c r="C26" s="117">
        <f>'Прил.5 Расчет СМР и ОБ'!J35</f>
        <v/>
      </c>
      <c r="D26" s="118" t="n"/>
      <c r="E26" s="118">
        <f>C26/$C$40</f>
        <v/>
      </c>
    </row>
    <row r="27">
      <c r="B27" s="116" t="inlineStr">
        <is>
          <t>ИТОГО (СМР + ОБОРУДОВАНИЕ)</t>
        </is>
      </c>
      <c r="C27" s="120">
        <f>C24+C25</f>
        <v/>
      </c>
      <c r="D27" s="118" t="n"/>
      <c r="E27" s="118">
        <f>C27/$C$40</f>
        <v/>
      </c>
      <c r="G27" s="119" t="n"/>
    </row>
    <row r="28" ht="33" customHeight="1" s="162">
      <c r="B28" s="116" t="inlineStr">
        <is>
          <t>ПРОЧ. ЗАТР., УЧТЕННЫЕ ПОКАЗАТЕЛЕМ,  в том числе</t>
        </is>
      </c>
      <c r="C28" s="116" t="n"/>
      <c r="D28" s="116" t="n"/>
      <c r="E28" s="116" t="n"/>
    </row>
    <row r="29" ht="25.5" customHeight="1" s="162">
      <c r="B29" s="116" t="inlineStr">
        <is>
          <t>Временные здания и сооружения - 2,5%</t>
        </is>
      </c>
      <c r="C29" s="120">
        <f>ROUND(C24*2.5%,2)</f>
        <v/>
      </c>
      <c r="D29" s="116" t="n"/>
      <c r="E29" s="118" t="n">
        <v>0.025</v>
      </c>
    </row>
    <row r="30" ht="38.25" customHeight="1" s="162">
      <c r="B30" s="116" t="inlineStr">
        <is>
          <t>Дополнительные затраты при производстве строительно-монтажных работ в зимнее время - 1,9%</t>
        </is>
      </c>
      <c r="C30" s="120">
        <f>ROUND((C24+C29)*1.9%,2)</f>
        <v/>
      </c>
      <c r="D30" s="116" t="n"/>
      <c r="E30" s="118" t="n">
        <v>0.019</v>
      </c>
    </row>
    <row r="31">
      <c r="B31" s="116" t="inlineStr">
        <is>
          <t>Пусконаладочные работы</t>
        </is>
      </c>
      <c r="C31" s="120" t="n">
        <v>0</v>
      </c>
      <c r="D31" s="116" t="n"/>
      <c r="E31" s="118">
        <f>C31/$C$40</f>
        <v/>
      </c>
    </row>
    <row r="32" ht="25.5" customHeight="1" s="162">
      <c r="B32" s="116" t="inlineStr">
        <is>
          <t>Затраты по перевозке работников к месту работы и обратно</t>
        </is>
      </c>
      <c r="C32" s="120" t="n">
        <v>0</v>
      </c>
      <c r="D32" s="116" t="n"/>
      <c r="E32" s="118">
        <f>C32/$C$40</f>
        <v/>
      </c>
    </row>
    <row r="33" ht="25.5" customHeight="1" s="162">
      <c r="B33" s="116" t="inlineStr">
        <is>
          <t>Затраты, связанные с осуществлением работ вахтовым методом</t>
        </is>
      </c>
      <c r="C33" s="120">
        <f>ROUND(C27*0%,2)</f>
        <v/>
      </c>
      <c r="D33" s="116" t="n"/>
      <c r="E33" s="118">
        <f>C33/$C$40</f>
        <v/>
      </c>
    </row>
    <row r="34" ht="51" customHeight="1" s="162">
      <c r="B34" s="11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20" t="n">
        <v>0</v>
      </c>
      <c r="D34" s="116" t="n"/>
      <c r="E34" s="118">
        <f>C34/$C$40</f>
        <v/>
      </c>
    </row>
    <row r="35" ht="76.5" customHeight="1" s="162">
      <c r="B35" s="11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20">
        <f>ROUND(C27*0%,2)</f>
        <v/>
      </c>
      <c r="D35" s="116" t="n"/>
      <c r="E35" s="118">
        <f>C35/$C$40</f>
        <v/>
      </c>
    </row>
    <row r="36" ht="25.5" customHeight="1" s="162">
      <c r="B36" s="116" t="inlineStr">
        <is>
          <t>Строительный контроль и содержание службы заказчика - 2,14%</t>
        </is>
      </c>
      <c r="C36" s="120">
        <f>ROUND((C27+C32+C33+C34+C35+C29+C31+C30)*2.14%,2)</f>
        <v/>
      </c>
      <c r="D36" s="116" t="n"/>
      <c r="E36" s="118">
        <f>C36/$C$40</f>
        <v/>
      </c>
      <c r="L36" s="119" t="n"/>
    </row>
    <row r="37">
      <c r="B37" s="116" t="inlineStr">
        <is>
          <t>Авторский надзор - 0,2%</t>
        </is>
      </c>
      <c r="C37" s="120">
        <f>ROUND((C27+C32+C33+C34+C35+C29+C31+C30)*0.2%,2)</f>
        <v/>
      </c>
      <c r="D37" s="116" t="n"/>
      <c r="E37" s="118">
        <f>C37/$C$40</f>
        <v/>
      </c>
      <c r="L37" s="119" t="n"/>
    </row>
    <row r="38" ht="38.25" customHeight="1" s="162">
      <c r="B38" s="116" t="inlineStr">
        <is>
          <t>ИТОГО (СМР+ОБОРУДОВАНИЕ+ПРОЧ. ЗАТР., УЧТЕННЫЕ ПОКАЗАТЕЛЕМ)</t>
        </is>
      </c>
      <c r="C38" s="117">
        <f>C27+C32+C33+C34+C35+C29+C31+C30+C36+C37</f>
        <v/>
      </c>
      <c r="D38" s="116" t="n"/>
      <c r="E38" s="118">
        <f>C38/$C$40</f>
        <v/>
      </c>
    </row>
    <row r="39" ht="13.5" customHeight="1" s="162">
      <c r="B39" s="116" t="inlineStr">
        <is>
          <t>Непредвиденные расходы</t>
        </is>
      </c>
      <c r="C39" s="117">
        <f>ROUND(C38*3%,2)</f>
        <v/>
      </c>
      <c r="D39" s="116" t="n"/>
      <c r="E39" s="118">
        <f>C39/$C$38</f>
        <v/>
      </c>
    </row>
    <row r="40">
      <c r="B40" s="116" t="inlineStr">
        <is>
          <t>ВСЕГО:</t>
        </is>
      </c>
      <c r="C40" s="117">
        <f>C39+C38</f>
        <v/>
      </c>
      <c r="D40" s="116" t="n"/>
      <c r="E40" s="118">
        <f>C40/$C$40</f>
        <v/>
      </c>
    </row>
    <row r="41">
      <c r="B41" s="116" t="inlineStr">
        <is>
          <t>ИТОГО ПОКАЗАТЕЛЬ НА ЕД. ИЗМ.</t>
        </is>
      </c>
      <c r="C41" s="117">
        <f>C40/'Прил.5 Расчет СМР и ОБ'!E86</f>
        <v/>
      </c>
      <c r="D41" s="116" t="n"/>
      <c r="E41" s="116" t="n"/>
    </row>
    <row r="42">
      <c r="B42" s="115" t="n"/>
      <c r="C42" s="169" t="n"/>
      <c r="D42" s="169" t="n"/>
      <c r="E42" s="169" t="n"/>
    </row>
    <row r="43">
      <c r="B43" s="115" t="inlineStr">
        <is>
          <t>Составил ____________________________  Е. М. Добровольская</t>
        </is>
      </c>
      <c r="C43" s="169" t="n"/>
      <c r="D43" s="169" t="n"/>
      <c r="E43" s="169" t="n"/>
    </row>
    <row r="44">
      <c r="B44" s="115" t="inlineStr">
        <is>
          <t xml:space="preserve">(должность, подпись, инициалы, фамилия) </t>
        </is>
      </c>
      <c r="C44" s="169" t="n"/>
      <c r="D44" s="169" t="n"/>
      <c r="E44" s="169" t="n"/>
    </row>
    <row r="45">
      <c r="B45" s="115" t="n"/>
      <c r="C45" s="169" t="n"/>
      <c r="D45" s="169" t="n"/>
      <c r="E45" s="169" t="n"/>
    </row>
    <row r="46">
      <c r="B46" s="115" t="inlineStr">
        <is>
          <t>Проверил ____________________________ А.В. Костянецкая</t>
        </is>
      </c>
      <c r="C46" s="169" t="n"/>
      <c r="D46" s="169" t="n"/>
      <c r="E46" s="169" t="n"/>
    </row>
    <row r="47">
      <c r="B47" s="199" t="inlineStr">
        <is>
          <t>(должность, подпись, инициалы, фамилия)</t>
        </is>
      </c>
      <c r="D47" s="169" t="n"/>
      <c r="E47" s="169" t="n"/>
    </row>
    <row r="49">
      <c r="B49" s="169" t="n"/>
      <c r="C49" s="169" t="n"/>
      <c r="D49" s="169" t="n"/>
      <c r="E49" s="169" t="n"/>
    </row>
    <row r="50">
      <c r="B50" s="169" t="n"/>
      <c r="C50" s="169" t="n"/>
      <c r="D50" s="169" t="n"/>
      <c r="E50" s="16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92"/>
  <sheetViews>
    <sheetView tabSelected="1" view="pageBreakPreview" zoomScale="70" zoomScaleSheetLayoutView="70" workbookViewId="0">
      <selection activeCell="W30" sqref="W30"/>
    </sheetView>
  </sheetViews>
  <sheetFormatPr baseColWidth="8" defaultColWidth="9.140625" defaultRowHeight="15" outlineLevelRow="1"/>
  <cols>
    <col width="5.7109375" customWidth="1" style="170" min="1" max="1"/>
    <col width="22.5703125" customWidth="1" style="170" min="2" max="2"/>
    <col width="39.140625" customWidth="1" style="170" min="3" max="3"/>
    <col width="10.7109375" customWidth="1" style="170" min="4" max="4"/>
    <col width="12.7109375" customWidth="1" style="170" min="5" max="5"/>
    <col width="14.5703125" customWidth="1" style="170" min="6" max="6"/>
    <col width="13.42578125" customWidth="1" style="170" min="7" max="7"/>
    <col width="12.7109375" customWidth="1" style="170" min="8" max="8"/>
    <col width="13.85546875" customWidth="1" style="170" min="9" max="9"/>
    <col width="17.5703125" customWidth="1" style="170" min="10" max="10"/>
    <col width="10.85546875" customWidth="1" style="170" min="11" max="11"/>
    <col width="13.85546875" customWidth="1" style="170" min="12" max="12"/>
    <col width="9.140625" customWidth="1" style="162" min="13" max="13"/>
  </cols>
  <sheetData>
    <row r="1" s="162">
      <c r="A1" s="170" t="n"/>
      <c r="B1" s="170" t="n"/>
      <c r="C1" s="170" t="n"/>
      <c r="D1" s="170" t="n"/>
      <c r="E1" s="170" t="n"/>
      <c r="F1" s="170" t="n"/>
      <c r="G1" s="170" t="n"/>
      <c r="H1" s="170" t="n"/>
      <c r="I1" s="170" t="n"/>
      <c r="J1" s="170" t="n"/>
      <c r="K1" s="170" t="n"/>
      <c r="L1" s="170" t="n"/>
      <c r="M1" s="170" t="n"/>
      <c r="N1" s="170" t="n"/>
    </row>
    <row r="2" ht="15.75" customHeight="1" s="162">
      <c r="A2" s="170" t="n"/>
      <c r="B2" s="170" t="n"/>
      <c r="C2" s="170" t="n"/>
      <c r="D2" s="170" t="n"/>
      <c r="E2" s="170" t="n"/>
      <c r="F2" s="170" t="n"/>
      <c r="G2" s="170" t="n"/>
      <c r="H2" s="200" t="inlineStr">
        <is>
          <t>Приложение №5</t>
        </is>
      </c>
      <c r="K2" s="170" t="n"/>
      <c r="L2" s="170" t="n"/>
      <c r="M2" s="170" t="n"/>
      <c r="N2" s="170" t="n"/>
    </row>
    <row r="3" s="162">
      <c r="A3" s="170" t="n"/>
      <c r="B3" s="170" t="n"/>
      <c r="C3" s="170" t="n"/>
      <c r="D3" s="170" t="n"/>
      <c r="E3" s="170" t="n"/>
      <c r="F3" s="170" t="n"/>
      <c r="G3" s="170" t="n"/>
      <c r="H3" s="170" t="n"/>
      <c r="I3" s="170" t="n"/>
      <c r="J3" s="170" t="n"/>
      <c r="K3" s="170" t="n"/>
      <c r="L3" s="170" t="n"/>
      <c r="M3" s="170" t="n"/>
      <c r="N3" s="170" t="n"/>
    </row>
    <row r="4" ht="12.75" customFormat="1" customHeight="1" s="169">
      <c r="A4" s="197" t="inlineStr">
        <is>
          <t>Расчет стоимости СМР и оборудования</t>
        </is>
      </c>
    </row>
    <row r="5" ht="12.75" customFormat="1" customHeight="1" s="169">
      <c r="A5" s="197" t="n"/>
      <c r="B5" s="197" t="n"/>
      <c r="C5" s="50" t="n"/>
      <c r="D5" s="197" t="n"/>
      <c r="E5" s="197" t="n"/>
      <c r="F5" s="197" t="n"/>
      <c r="G5" s="197" t="n"/>
      <c r="H5" s="197" t="n"/>
      <c r="I5" s="197" t="n"/>
      <c r="J5" s="197" t="n"/>
    </row>
    <row r="6" ht="27" customFormat="1" customHeight="1" s="169">
      <c r="A6" s="156" t="inlineStr">
        <is>
          <t>Наименование разрабатываемого показателя УНЦ</t>
        </is>
      </c>
      <c r="B6" s="82" t="n"/>
      <c r="C6" s="82" t="n"/>
      <c r="D6" s="201" t="inlineStr">
        <is>
          <t>Строительно-монтажные работы ВЛ 0,4-750 кВ без опор и провода. Двухцепная, все типы опор за исключением многогранных 6-20 кВ.</t>
        </is>
      </c>
    </row>
    <row r="7" ht="12.75" customFormat="1" customHeight="1" s="169">
      <c r="A7" s="201" t="inlineStr">
        <is>
          <t>Единица измерения  — 1 км</t>
        </is>
      </c>
      <c r="I7" s="198" t="n"/>
      <c r="J7" s="198" t="n"/>
    </row>
    <row r="8" ht="13.5" customFormat="1" customHeight="1" s="169">
      <c r="A8" s="201" t="n"/>
    </row>
    <row r="9" ht="27" customHeight="1" s="162">
      <c r="A9" s="204" t="inlineStr">
        <is>
          <t>№ пп.</t>
        </is>
      </c>
      <c r="B9" s="204" t="inlineStr">
        <is>
          <t>Код ресурса</t>
        </is>
      </c>
      <c r="C9" s="204" t="inlineStr">
        <is>
          <t>Наименование</t>
        </is>
      </c>
      <c r="D9" s="204" t="inlineStr">
        <is>
          <t>Ед. изм.</t>
        </is>
      </c>
      <c r="E9" s="204" t="inlineStr">
        <is>
          <t>Кол-во единиц по проектным данным</t>
        </is>
      </c>
      <c r="F9" s="204" t="inlineStr">
        <is>
          <t>Сметная стоимость в ценах на 01.01.2000 (руб.)</t>
        </is>
      </c>
      <c r="G9" s="234" t="n"/>
      <c r="H9" s="204" t="inlineStr">
        <is>
          <t>Удельный вес, %</t>
        </is>
      </c>
      <c r="I9" s="204" t="inlineStr">
        <is>
          <t>Сметная стоимость в ценах на 01.01.2023 (руб.)</t>
        </is>
      </c>
      <c r="J9" s="234" t="n"/>
      <c r="K9" s="170" t="n"/>
      <c r="L9" s="170" t="n"/>
      <c r="M9" s="170" t="n"/>
      <c r="N9" s="170" t="n"/>
    </row>
    <row r="10" ht="28.5" customHeight="1" s="162">
      <c r="A10" s="236" t="n"/>
      <c r="B10" s="236" t="n"/>
      <c r="C10" s="236" t="n"/>
      <c r="D10" s="236" t="n"/>
      <c r="E10" s="236" t="n"/>
      <c r="F10" s="204" t="inlineStr">
        <is>
          <t>на ед. изм.</t>
        </is>
      </c>
      <c r="G10" s="204" t="inlineStr">
        <is>
          <t>общая</t>
        </is>
      </c>
      <c r="H10" s="236" t="n"/>
      <c r="I10" s="204" t="inlineStr">
        <is>
          <t>на ед. изм.</t>
        </is>
      </c>
      <c r="J10" s="204" t="inlineStr">
        <is>
          <t>общая</t>
        </is>
      </c>
      <c r="K10" s="170" t="n"/>
      <c r="L10" s="170" t="n"/>
      <c r="M10" s="170" t="n"/>
      <c r="N10" s="170" t="n"/>
    </row>
    <row r="11" s="162">
      <c r="A11" s="204" t="n">
        <v>1</v>
      </c>
      <c r="B11" s="204" t="n">
        <v>2</v>
      </c>
      <c r="C11" s="204" t="n">
        <v>3</v>
      </c>
      <c r="D11" s="204" t="n">
        <v>4</v>
      </c>
      <c r="E11" s="204" t="n">
        <v>5</v>
      </c>
      <c r="F11" s="204" t="n">
        <v>6</v>
      </c>
      <c r="G11" s="204" t="n">
        <v>7</v>
      </c>
      <c r="H11" s="204" t="n">
        <v>8</v>
      </c>
      <c r="I11" s="205" t="n">
        <v>9</v>
      </c>
      <c r="J11" s="205" t="n">
        <v>10</v>
      </c>
      <c r="K11" s="170" t="n"/>
      <c r="L11" s="170" t="n"/>
      <c r="M11" s="170" t="n"/>
      <c r="N11" s="170" t="n"/>
    </row>
    <row r="12">
      <c r="A12" s="204" t="n"/>
      <c r="B12" s="192" t="inlineStr">
        <is>
          <t>Затраты труда рабочих-строителей</t>
        </is>
      </c>
      <c r="C12" s="233" t="n"/>
      <c r="D12" s="233" t="n"/>
      <c r="E12" s="233" t="n"/>
      <c r="F12" s="233" t="n"/>
      <c r="G12" s="233" t="n"/>
      <c r="H12" s="234" t="n"/>
      <c r="I12" s="69" t="n"/>
      <c r="J12" s="69" t="n"/>
    </row>
    <row r="13" ht="25.5" customHeight="1" s="162">
      <c r="A13" s="204" t="n">
        <v>1</v>
      </c>
      <c r="B13" s="80" t="inlineStr">
        <is>
          <t>1-3-4</t>
        </is>
      </c>
      <c r="C13" s="211" t="inlineStr">
        <is>
          <t>Затраты труда рабочих-строителей среднего разряда (3,4)</t>
        </is>
      </c>
      <c r="D13" s="204" t="inlineStr">
        <is>
          <t>чел.-ч.</t>
        </is>
      </c>
      <c r="E13" s="78">
        <f>G13/F13</f>
        <v/>
      </c>
      <c r="F13" s="76" t="n">
        <v>8.970000000000001</v>
      </c>
      <c r="G13" s="76">
        <f>Прил.3!H12</f>
        <v/>
      </c>
      <c r="H13" s="152">
        <f>G13/G14</f>
        <v/>
      </c>
      <c r="I13" s="76">
        <f>ФОТр.тек.!E13</f>
        <v/>
      </c>
      <c r="J13" s="76">
        <f>ROUND(I13*E13,2)</f>
        <v/>
      </c>
    </row>
    <row r="14" ht="25.5" customFormat="1" customHeight="1" s="170">
      <c r="A14" s="204" t="n"/>
      <c r="B14" s="204" t="n"/>
      <c r="C14" s="192" t="inlineStr">
        <is>
          <t>Итого по разделу "Затраты труда рабочих-строителей"</t>
        </is>
      </c>
      <c r="D14" s="204" t="inlineStr">
        <is>
          <t>чел.-ч.</t>
        </is>
      </c>
      <c r="E14" s="78">
        <f>SUM(E13:E13)</f>
        <v/>
      </c>
      <c r="F14" s="76" t="n"/>
      <c r="G14" s="76">
        <f>SUM(G13:G13)</f>
        <v/>
      </c>
      <c r="H14" s="214" t="n">
        <v>1</v>
      </c>
      <c r="I14" s="69" t="n"/>
      <c r="J14" s="76">
        <f>SUM(J13:J13)</f>
        <v/>
      </c>
    </row>
    <row r="15" ht="14.25" customFormat="1" customHeight="1" s="170">
      <c r="A15" s="204" t="n"/>
      <c r="B15" s="211" t="inlineStr">
        <is>
          <t>Затраты труда машинистов</t>
        </is>
      </c>
      <c r="C15" s="233" t="n"/>
      <c r="D15" s="233" t="n"/>
      <c r="E15" s="233" t="n"/>
      <c r="F15" s="233" t="n"/>
      <c r="G15" s="233" t="n"/>
      <c r="H15" s="234" t="n"/>
      <c r="I15" s="69" t="n"/>
      <c r="J15" s="69" t="n"/>
    </row>
    <row r="16" ht="14.25" customFormat="1" customHeight="1" s="170">
      <c r="A16" s="204" t="n">
        <v>2</v>
      </c>
      <c r="B16" s="204" t="n">
        <v>2</v>
      </c>
      <c r="C16" s="211" t="inlineStr">
        <is>
          <t>Затраты труда машинистов</t>
        </is>
      </c>
      <c r="D16" s="204" t="inlineStr">
        <is>
          <t>чел.-ч.</t>
        </is>
      </c>
      <c r="E16" s="78">
        <f>Прил.3!F21</f>
        <v/>
      </c>
      <c r="F16" s="76">
        <f>G16/E16</f>
        <v/>
      </c>
      <c r="G16" s="76">
        <f>Прил.3!H20</f>
        <v/>
      </c>
      <c r="H16" s="214" t="n">
        <v>1</v>
      </c>
      <c r="I16" s="76">
        <f>ROUND(F16*Прил.10!D11,2)</f>
        <v/>
      </c>
      <c r="J16" s="76">
        <f>ROUND(I16*E16,2)</f>
        <v/>
      </c>
    </row>
    <row r="17" ht="14.25" customFormat="1" customHeight="1" s="170">
      <c r="A17" s="204" t="n"/>
      <c r="B17" s="192" t="inlineStr">
        <is>
          <t>Машины и механизмы</t>
        </is>
      </c>
      <c r="C17" s="233" t="n"/>
      <c r="D17" s="233" t="n"/>
      <c r="E17" s="233" t="n"/>
      <c r="F17" s="233" t="n"/>
      <c r="G17" s="233" t="n"/>
      <c r="H17" s="234" t="n"/>
      <c r="I17" s="69" t="n"/>
      <c r="J17" s="69" t="n"/>
    </row>
    <row r="18" ht="14.25" customFormat="1" customHeight="1" s="170">
      <c r="A18" s="204" t="n"/>
      <c r="B18" s="211" t="inlineStr">
        <is>
          <t>Основные машины и механизмы</t>
        </is>
      </c>
      <c r="C18" s="233" t="n"/>
      <c r="D18" s="233" t="n"/>
      <c r="E18" s="233" t="n"/>
      <c r="F18" s="233" t="n"/>
      <c r="G18" s="233" t="n"/>
      <c r="H18" s="234" t="n"/>
      <c r="I18" s="69" t="n"/>
      <c r="J18" s="69" t="n"/>
    </row>
    <row r="19" ht="25.5" customFormat="1" customHeight="1" s="170">
      <c r="A19" s="204" t="n">
        <v>3</v>
      </c>
      <c r="B19" s="80" t="inlineStr">
        <is>
          <t>91.04.01-031</t>
        </is>
      </c>
      <c r="C19" s="211" t="inlineStr">
        <is>
          <t>Машины бурильно-крановые на автомобиле, глубина бурения 3,5 м</t>
        </is>
      </c>
      <c r="D19" s="204" t="inlineStr">
        <is>
          <t>маш.-ч</t>
        </is>
      </c>
      <c r="E19" s="78" t="n">
        <v>37.32</v>
      </c>
      <c r="F19" s="213" t="n">
        <v>138.54</v>
      </c>
      <c r="G19" s="76">
        <f>ROUND(E19*F19,2)</f>
        <v/>
      </c>
      <c r="H19" s="152">
        <f>G19/$G$29</f>
        <v/>
      </c>
      <c r="I19" s="76">
        <f>ROUND(F19*Прил.10!$D$12,2)</f>
        <v/>
      </c>
      <c r="J19" s="76">
        <f>ROUND(I19*E19,2)</f>
        <v/>
      </c>
    </row>
    <row r="20" ht="25.5" customFormat="1" customHeight="1" s="170">
      <c r="A20" s="204" t="n">
        <v>4</v>
      </c>
      <c r="B20" s="80" t="inlineStr">
        <is>
          <t>91.06.06-011</t>
        </is>
      </c>
      <c r="C20" s="211" t="inlineStr">
        <is>
          <t>Автогидроподъемники, высота подъема 12 м</t>
        </is>
      </c>
      <c r="D20" s="204" t="inlineStr">
        <is>
          <t>маш.-ч</t>
        </is>
      </c>
      <c r="E20" s="78" t="n">
        <v>35.64</v>
      </c>
      <c r="F20" s="213" t="n">
        <v>82.22</v>
      </c>
      <c r="G20" s="76">
        <f>ROUND(E20*F20,2)</f>
        <v/>
      </c>
      <c r="H20" s="152">
        <f>G20/$G$29</f>
        <v/>
      </c>
      <c r="I20" s="76">
        <f>ROUND(F20*Прил.10!$D$12,2)</f>
        <v/>
      </c>
      <c r="J20" s="76">
        <f>ROUND(I20*E20,2)</f>
        <v/>
      </c>
    </row>
    <row r="21" ht="30" customFormat="1" customHeight="1" s="170">
      <c r="A21" s="204" t="n">
        <v>5</v>
      </c>
      <c r="B21" s="80" t="inlineStr">
        <is>
          <t>91.05.05-014</t>
        </is>
      </c>
      <c r="C21" s="211" t="inlineStr">
        <is>
          <t>Краны на автомобильном ходу, грузоподъемность 10 т</t>
        </is>
      </c>
      <c r="D21" s="204" t="inlineStr">
        <is>
          <t>маш.-ч</t>
        </is>
      </c>
      <c r="E21" s="78" t="n">
        <v>13.56</v>
      </c>
      <c r="F21" s="213" t="n">
        <v>111.99</v>
      </c>
      <c r="G21" s="76">
        <f>ROUND(E21*F21,2)</f>
        <v/>
      </c>
      <c r="H21" s="152">
        <f>G21/$G$29</f>
        <v/>
      </c>
      <c r="I21" s="76">
        <f>ROUND(F21*Прил.10!$D$12,2)</f>
        <v/>
      </c>
      <c r="J21" s="76">
        <f>ROUND(I21*E21,2)</f>
        <v/>
      </c>
    </row>
    <row r="22" ht="25.5" customFormat="1" customHeight="1" s="170">
      <c r="A22" s="204" t="n">
        <v>6</v>
      </c>
      <c r="B22" s="80" t="inlineStr">
        <is>
          <t>91.15.03-014</t>
        </is>
      </c>
      <c r="C22" s="211" t="inlineStr">
        <is>
          <t>Тракторы на пневмоколесном ходу, мощность 59 кВт (80 л.с.)</t>
        </is>
      </c>
      <c r="D22" s="204" t="inlineStr">
        <is>
          <t>маш.-ч</t>
        </is>
      </c>
      <c r="E22" s="78" t="n">
        <v>19.24</v>
      </c>
      <c r="F22" s="213" t="n">
        <v>74.61</v>
      </c>
      <c r="G22" s="76">
        <f>ROUND(E22*F22,2)</f>
        <v/>
      </c>
      <c r="H22" s="152">
        <f>G22/$G$29</f>
        <v/>
      </c>
      <c r="I22" s="76">
        <f>ROUND(F22*Прил.10!$D$12,2)</f>
        <v/>
      </c>
      <c r="J22" s="76">
        <f>ROUND(I22*E22,2)</f>
        <v/>
      </c>
    </row>
    <row r="23" ht="14.25" customFormat="1" customHeight="1" s="170">
      <c r="A23" s="204" t="n"/>
      <c r="B23" s="204" t="n"/>
      <c r="C23" s="211" t="inlineStr">
        <is>
          <t>Итого основные машины и механизмы</t>
        </is>
      </c>
      <c r="D23" s="204" t="n"/>
      <c r="E23" s="78" t="n"/>
      <c r="F23" s="76" t="n"/>
      <c r="G23" s="76">
        <f>SUM(G19:G22)</f>
        <v/>
      </c>
      <c r="H23" s="214">
        <f>G23/G29</f>
        <v/>
      </c>
      <c r="I23" s="153" t="n"/>
      <c r="J23" s="76">
        <f>SUM(J19:J22)</f>
        <v/>
      </c>
    </row>
    <row r="24" hidden="1" outlineLevel="1" ht="25.5" customFormat="1" customHeight="1" s="170">
      <c r="A24" s="204" t="n">
        <v>7</v>
      </c>
      <c r="B24" s="80" t="inlineStr">
        <is>
          <t>91.14.02-001</t>
        </is>
      </c>
      <c r="C24" s="211" t="inlineStr">
        <is>
          <t>Автомобили бортовые, грузоподъемность до 5 т</t>
        </is>
      </c>
      <c r="D24" s="204" t="inlineStr">
        <is>
          <t>маш.-ч</t>
        </is>
      </c>
      <c r="E24" s="78" t="n">
        <v>19.24</v>
      </c>
      <c r="F24" s="213" t="n">
        <v>65.70999999999999</v>
      </c>
      <c r="G24" s="76">
        <f>ROUND(E24*F24,2)</f>
        <v/>
      </c>
      <c r="H24" s="152">
        <f>G24/$G$29</f>
        <v/>
      </c>
      <c r="I24" s="76">
        <f>ROUND(F24*Прил.10!$D$12,2)</f>
        <v/>
      </c>
      <c r="J24" s="76">
        <f>ROUND(I24*E24,2)</f>
        <v/>
      </c>
    </row>
    <row r="25" hidden="1" outlineLevel="1" ht="38.25" customFormat="1" customHeight="1" s="170">
      <c r="A25" s="204" t="n">
        <v>8</v>
      </c>
      <c r="B25" s="80" t="inlineStr">
        <is>
          <t>91.17.04-036</t>
        </is>
      </c>
      <c r="C25" s="211" t="inlineStr">
        <is>
          <t>Агрегаты сварочные передвижные с дизельным двигателем, номинальный сварочный ток 250-400 А</t>
        </is>
      </c>
      <c r="D25" s="204" t="inlineStr">
        <is>
          <t>маш.-ч</t>
        </is>
      </c>
      <c r="E25" s="78" t="n">
        <v>14.7</v>
      </c>
      <c r="F25" s="213" t="n">
        <v>14</v>
      </c>
      <c r="G25" s="76">
        <f>ROUND(E25*F25,2)</f>
        <v/>
      </c>
      <c r="H25" s="152">
        <f>G25/$G$29</f>
        <v/>
      </c>
      <c r="I25" s="76">
        <f>ROUND(F25*Прил.10!$D$12,2)</f>
        <v/>
      </c>
      <c r="J25" s="76">
        <f>ROUND(I25*E25,2)</f>
        <v/>
      </c>
    </row>
    <row r="26" hidden="1" outlineLevel="1" ht="14.25" customFormat="1" customHeight="1" s="170">
      <c r="A26" s="204" t="n">
        <v>9</v>
      </c>
      <c r="B26" s="80" t="inlineStr">
        <is>
          <t>91.15.01-001</t>
        </is>
      </c>
      <c r="C26" s="211" t="inlineStr">
        <is>
          <t>Прицепы тракторные 2 т</t>
        </is>
      </c>
      <c r="D26" s="204" t="inlineStr">
        <is>
          <t>маш.-ч</t>
        </is>
      </c>
      <c r="E26" s="78" t="n">
        <v>12.8</v>
      </c>
      <c r="F26" s="213" t="n">
        <v>4.01</v>
      </c>
      <c r="G26" s="76">
        <f>ROUND(E26*F26,2)</f>
        <v/>
      </c>
      <c r="H26" s="152">
        <f>G26/$G$29</f>
        <v/>
      </c>
      <c r="I26" s="76">
        <f>ROUND(F26*Прил.10!$D$12,2)</f>
        <v/>
      </c>
      <c r="J26" s="76">
        <f>ROUND(I26*E26,2)</f>
        <v/>
      </c>
    </row>
    <row r="27" hidden="1" outlineLevel="1" ht="25.5" customFormat="1" customHeight="1" s="170">
      <c r="A27" s="204" t="n">
        <v>10</v>
      </c>
      <c r="B27" s="80" t="inlineStr">
        <is>
          <t>91.17.04-233</t>
        </is>
      </c>
      <c r="C27" s="211" t="inlineStr">
        <is>
          <t>Установки для сварки ручной дуговой (постоянного тока)</t>
        </is>
      </c>
      <c r="D27" s="204" t="inlineStr">
        <is>
          <t>маш.-ч</t>
        </is>
      </c>
      <c r="E27" s="78" t="n">
        <v>0.23</v>
      </c>
      <c r="F27" s="213" t="n">
        <v>8.1</v>
      </c>
      <c r="G27" s="76">
        <f>ROUND(E27*F27,2)</f>
        <v/>
      </c>
      <c r="H27" s="152">
        <f>G27/$G$29</f>
        <v/>
      </c>
      <c r="I27" s="76">
        <f>ROUND(F27*Прил.10!$D$12,2)</f>
        <v/>
      </c>
      <c r="J27" s="76">
        <f>ROUND(I27*E27,2)</f>
        <v/>
      </c>
    </row>
    <row r="28" collapsed="1" ht="14.25" customFormat="1" customHeight="1" s="170">
      <c r="A28" s="204" t="n"/>
      <c r="B28" s="204" t="n"/>
      <c r="C28" s="211" t="inlineStr">
        <is>
          <t>Итого прочие машины и механизмы</t>
        </is>
      </c>
      <c r="D28" s="204" t="n"/>
      <c r="E28" s="212" t="n"/>
      <c r="F28" s="76" t="n"/>
      <c r="G28" s="153">
        <f>SUM(G24:G27)</f>
        <v/>
      </c>
      <c r="H28" s="152">
        <f>G28/G29</f>
        <v/>
      </c>
      <c r="I28" s="76" t="n"/>
      <c r="J28" s="153">
        <f>SUM(J24:J27)</f>
        <v/>
      </c>
    </row>
    <row r="29" ht="25.5" customFormat="1" customHeight="1" s="170">
      <c r="A29" s="204" t="n"/>
      <c r="B29" s="204" t="n"/>
      <c r="C29" s="192" t="inlineStr">
        <is>
          <t>Итого по разделу «Машины и механизмы»</t>
        </is>
      </c>
      <c r="D29" s="204" t="n"/>
      <c r="E29" s="212" t="n"/>
      <c r="F29" s="76" t="n"/>
      <c r="G29" s="76">
        <f>G28+G23</f>
        <v/>
      </c>
      <c r="H29" s="64" t="n">
        <v>1</v>
      </c>
      <c r="I29" s="65" t="n"/>
      <c r="J29" s="90">
        <f>J28+J23</f>
        <v/>
      </c>
    </row>
    <row r="30" ht="14.25" customFormat="1" customHeight="1" s="170">
      <c r="A30" s="204" t="n"/>
      <c r="B30" s="192" t="inlineStr">
        <is>
          <t>Оборудование</t>
        </is>
      </c>
      <c r="C30" s="233" t="n"/>
      <c r="D30" s="233" t="n"/>
      <c r="E30" s="233" t="n"/>
      <c r="F30" s="233" t="n"/>
      <c r="G30" s="233" t="n"/>
      <c r="H30" s="234" t="n"/>
      <c r="I30" s="69" t="n"/>
      <c r="J30" s="69" t="n"/>
    </row>
    <row r="31">
      <c r="A31" s="204" t="n"/>
      <c r="B31" s="207" t="inlineStr">
        <is>
          <t>Основное оборудование</t>
        </is>
      </c>
      <c r="C31" s="238" t="n"/>
      <c r="D31" s="238" t="n"/>
      <c r="E31" s="238" t="n"/>
      <c r="F31" s="238" t="n"/>
      <c r="G31" s="238" t="n"/>
      <c r="H31" s="239" t="n"/>
      <c r="I31" s="69" t="n"/>
      <c r="J31" s="69" t="n"/>
      <c r="K31" s="170" t="n"/>
      <c r="L31" s="170" t="n"/>
    </row>
    <row r="32">
      <c r="A32" s="204" t="n"/>
      <c r="B32" s="204" t="n"/>
      <c r="C32" s="211" t="inlineStr">
        <is>
          <t>Итого основное оборудование</t>
        </is>
      </c>
      <c r="D32" s="204" t="n"/>
      <c r="E32" s="78" t="n"/>
      <c r="F32" s="213" t="n"/>
      <c r="G32" s="76" t="n">
        <v>0</v>
      </c>
      <c r="H32" s="214" t="n">
        <v>0</v>
      </c>
      <c r="I32" s="153" t="n"/>
      <c r="J32" s="76" t="n">
        <v>0</v>
      </c>
      <c r="K32" s="170" t="n"/>
      <c r="L32" s="170" t="n"/>
    </row>
    <row r="33">
      <c r="A33" s="204" t="n"/>
      <c r="B33" s="204" t="n"/>
      <c r="C33" s="211" t="inlineStr">
        <is>
          <t>Итого прочее оборудование</t>
        </is>
      </c>
      <c r="D33" s="204" t="n"/>
      <c r="E33" s="78" t="n"/>
      <c r="F33" s="213" t="n"/>
      <c r="G33" s="76" t="n">
        <v>0</v>
      </c>
      <c r="H33" s="214" t="n">
        <v>0</v>
      </c>
      <c r="I33" s="153" t="n"/>
      <c r="J33" s="76" t="n">
        <v>0</v>
      </c>
      <c r="K33" s="170" t="n"/>
      <c r="L33" s="170" t="n"/>
    </row>
    <row r="34">
      <c r="A34" s="204" t="n"/>
      <c r="B34" s="204" t="n"/>
      <c r="C34" s="192" t="inlineStr">
        <is>
          <t>Итого по разделу «Оборудование»</t>
        </is>
      </c>
      <c r="D34" s="204" t="n"/>
      <c r="E34" s="212" t="n"/>
      <c r="F34" s="213" t="n"/>
      <c r="G34" s="76">
        <f>G33+G32</f>
        <v/>
      </c>
      <c r="H34" s="214">
        <f>H33+H32</f>
        <v/>
      </c>
      <c r="I34" s="153" t="n"/>
      <c r="J34" s="76">
        <f>J33+J32</f>
        <v/>
      </c>
      <c r="K34" s="170" t="n"/>
      <c r="L34" s="170" t="n"/>
    </row>
    <row r="35" ht="25.5" customHeight="1" s="162">
      <c r="A35" s="204" t="n"/>
      <c r="B35" s="204" t="n"/>
      <c r="C35" s="211" t="inlineStr">
        <is>
          <t>в том числе технологическое оборудование</t>
        </is>
      </c>
      <c r="D35" s="204" t="n"/>
      <c r="E35" s="151" t="n"/>
      <c r="F35" s="213" t="n"/>
      <c r="G35" s="76">
        <f>G34</f>
        <v/>
      </c>
      <c r="H35" s="214" t="n"/>
      <c r="I35" s="153" t="n"/>
      <c r="J35" s="76">
        <f>J34</f>
        <v/>
      </c>
      <c r="K35" s="170" t="n"/>
      <c r="L35" s="170" t="n"/>
    </row>
    <row r="36" ht="14.25" customFormat="1" customHeight="1" s="170">
      <c r="A36" s="204" t="n"/>
      <c r="B36" s="192" t="inlineStr">
        <is>
          <t>Материалы</t>
        </is>
      </c>
      <c r="C36" s="233" t="n"/>
      <c r="D36" s="233" t="n"/>
      <c r="E36" s="233" t="n"/>
      <c r="F36" s="233" t="n"/>
      <c r="G36" s="233" t="n"/>
      <c r="H36" s="234" t="n"/>
      <c r="I36" s="69" t="n"/>
      <c r="J36" s="69" t="n"/>
    </row>
    <row r="37" ht="14.25" customFormat="1" customHeight="1" s="170">
      <c r="A37" s="205" t="n"/>
      <c r="B37" s="207" t="inlineStr">
        <is>
          <t>Основные материалы</t>
        </is>
      </c>
      <c r="C37" s="238" t="n"/>
      <c r="D37" s="238" t="n"/>
      <c r="E37" s="238" t="n"/>
      <c r="F37" s="238" t="n"/>
      <c r="G37" s="238" t="n"/>
      <c r="H37" s="239" t="n"/>
      <c r="I37" s="84" t="n"/>
      <c r="J37" s="84" t="n"/>
    </row>
    <row r="38" ht="14.25" customFormat="1" customHeight="1" s="170">
      <c r="A38" s="204" t="n">
        <v>11</v>
      </c>
      <c r="B38" s="204" t="inlineStr">
        <is>
          <t>22.2.01.03-0003</t>
        </is>
      </c>
      <c r="C38" s="211" t="inlineStr">
        <is>
          <t>Изолятор подвесной стеклянный ПСД-70Е</t>
        </is>
      </c>
      <c r="D38" s="204" t="inlineStr">
        <is>
          <t>шт</t>
        </is>
      </c>
      <c r="E38" s="78" t="n">
        <v>252</v>
      </c>
      <c r="F38" s="213" t="n">
        <v>169.25</v>
      </c>
      <c r="G38" s="76">
        <f>ROUND(E38*F38,2)</f>
        <v/>
      </c>
      <c r="H38" s="152">
        <f>G38/$G$80</f>
        <v/>
      </c>
      <c r="I38" s="76">
        <f>ROUND(F38*Прил.10!$D$13,2)</f>
        <v/>
      </c>
      <c r="J38" s="76">
        <f>ROUND(I38*E38,2)</f>
        <v/>
      </c>
    </row>
    <row r="39" ht="51" customFormat="1" customHeight="1" s="170">
      <c r="A39" s="204" t="n">
        <v>12</v>
      </c>
      <c r="B39" s="204" t="inlineStr">
        <is>
          <t>62.1.03.01-1070</t>
        </is>
      </c>
      <c r="C39" s="211" t="inlineStr">
        <is>
          <t>Разрядники трубчатые переменного тока, номинальное напряжение 10 кВ, максимальный предел тока отключения 2,5 кА</t>
        </is>
      </c>
      <c r="D39" s="204" t="inlineStr">
        <is>
          <t>шт</t>
        </is>
      </c>
      <c r="E39" s="78" t="n">
        <v>46</v>
      </c>
      <c r="F39" s="213" t="n">
        <v>1485.93</v>
      </c>
      <c r="G39" s="76">
        <f>ROUND(E39*F39,2)</f>
        <v/>
      </c>
      <c r="H39" s="152">
        <f>G39/$G$80</f>
        <v/>
      </c>
      <c r="I39" s="76">
        <f>ROUND(F39*Прил.10!$D$13,2)</f>
        <v/>
      </c>
      <c r="J39" s="76">
        <f>ROUND(I39*E39,2)</f>
        <v/>
      </c>
    </row>
    <row r="40" ht="25.5" customFormat="1" customHeight="1" s="170">
      <c r="A40" s="204" t="n">
        <v>13</v>
      </c>
      <c r="B40" s="204" t="inlineStr">
        <is>
          <t>20.1.01.08-0001</t>
        </is>
      </c>
      <c r="C40" s="211" t="inlineStr">
        <is>
          <t>Зажим оперативный ответвительный марки SL 30</t>
        </is>
      </c>
      <c r="D40" s="204" t="inlineStr">
        <is>
          <t>100 шт</t>
        </is>
      </c>
      <c r="E40" s="78" t="n">
        <v>0.6</v>
      </c>
      <c r="F40" s="213" t="n">
        <v>53793</v>
      </c>
      <c r="G40" s="76">
        <f>ROUND(E40*F40,2)</f>
        <v/>
      </c>
      <c r="H40" s="152">
        <f>G40/$G$80</f>
        <v/>
      </c>
      <c r="I40" s="76">
        <f>ROUND(F40*Прил.10!$D$13,2)</f>
        <v/>
      </c>
      <c r="J40" s="76">
        <f>ROUND(I40*E40,2)</f>
        <v/>
      </c>
    </row>
    <row r="41" ht="14.25" customFormat="1" customHeight="1" s="170">
      <c r="A41" s="204" t="n">
        <v>14</v>
      </c>
      <c r="B41" s="204" t="inlineStr">
        <is>
          <t>07.2.02.05-0021</t>
        </is>
      </c>
      <c r="C41" s="211" t="inlineStr">
        <is>
          <t>Траверсы стальные</t>
        </is>
      </c>
      <c r="D41" s="204" t="inlineStr">
        <is>
          <t>т</t>
        </is>
      </c>
      <c r="E41" s="78" t="n">
        <v>1.3238</v>
      </c>
      <c r="F41" s="213" t="n">
        <v>10832.93</v>
      </c>
      <c r="G41" s="76">
        <f>ROUND(E41*F41,2)</f>
        <v/>
      </c>
      <c r="H41" s="152">
        <f>G41/$G$80</f>
        <v/>
      </c>
      <c r="I41" s="76">
        <f>ROUND(F41*Прил.10!$D$13,2)</f>
        <v/>
      </c>
      <c r="J41" s="76">
        <f>ROUND(I41*E41,2)</f>
        <v/>
      </c>
    </row>
    <row r="42" ht="14.25" customFormat="1" customHeight="1" s="170">
      <c r="A42" s="204" t="n">
        <v>15</v>
      </c>
      <c r="B42" s="204" t="inlineStr">
        <is>
          <t>20.5.04.04-0001</t>
        </is>
      </c>
      <c r="C42" s="211" t="inlineStr">
        <is>
          <t>Зажим натяжной болтовый НБ-2-6</t>
        </is>
      </c>
      <c r="D42" s="204" t="inlineStr">
        <is>
          <t>шт</t>
        </is>
      </c>
      <c r="E42" s="78" t="n">
        <v>126</v>
      </c>
      <c r="F42" s="213" t="n">
        <v>89.44</v>
      </c>
      <c r="G42" s="76">
        <f>ROUND(E42*F42,2)</f>
        <v/>
      </c>
      <c r="H42" s="152">
        <f>G42/$G$80</f>
        <v/>
      </c>
      <c r="I42" s="76">
        <f>ROUND(F42*Прил.10!$D$13,2)</f>
        <v/>
      </c>
      <c r="J42" s="76">
        <f>ROUND(I42*E42,2)</f>
        <v/>
      </c>
    </row>
    <row r="43" ht="14.25" customFormat="1" customHeight="1" s="170">
      <c r="A43" s="206" t="n"/>
      <c r="B43" s="86" t="n"/>
      <c r="C43" s="87" t="inlineStr">
        <is>
          <t>Итого основные материалы</t>
        </is>
      </c>
      <c r="D43" s="206" t="n"/>
      <c r="E43" s="78" t="n"/>
      <c r="F43" s="90" t="n"/>
      <c r="G43" s="90">
        <f>SUM(G38:G42)</f>
        <v/>
      </c>
      <c r="H43" s="152">
        <f>G43/$G$80</f>
        <v/>
      </c>
      <c r="I43" s="76" t="n"/>
      <c r="J43" s="90">
        <f>SUM(J38:J42)</f>
        <v/>
      </c>
    </row>
    <row r="44" hidden="1" outlineLevel="1" ht="38.25" customFormat="1" customHeight="1" s="170">
      <c r="A44" s="204" t="n">
        <v>16</v>
      </c>
      <c r="B44" s="204" t="inlineStr">
        <is>
          <t>20.2.08.07-0031</t>
        </is>
      </c>
      <c r="C44" s="211" t="inlineStr">
        <is>
          <t>Скоба П-образная для оперативных ответвительных зажимов SL 30, SL 36, марки PSS 924 (ENSTO)</t>
        </is>
      </c>
      <c r="D44" s="204" t="inlineStr">
        <is>
          <t>100 шт</t>
        </is>
      </c>
      <c r="E44" s="78" t="n">
        <v>0.3</v>
      </c>
      <c r="F44" s="213" t="n">
        <v>25876</v>
      </c>
      <c r="G44" s="76">
        <f>ROUND(E44*F44,2)</f>
        <v/>
      </c>
      <c r="H44" s="152">
        <f>G44/$G$80</f>
        <v/>
      </c>
      <c r="I44" s="76">
        <f>ROUND(F44*Прил.10!$D$13,2)</f>
        <v/>
      </c>
      <c r="J44" s="76">
        <f>ROUND(I44*E44,2)</f>
        <v/>
      </c>
    </row>
    <row r="45" hidden="1" outlineLevel="1" ht="38.25" customFormat="1" customHeight="1" s="170">
      <c r="A45" s="204" t="n">
        <v>17</v>
      </c>
      <c r="B45" s="204" t="inlineStr">
        <is>
          <t>20.1.02.15-0011</t>
        </is>
      </c>
      <c r="C45" s="211" t="inlineStr">
        <is>
          <t>Соединитель алюминиевых и сталеалюминиевых проводов (СОАС) 062-3</t>
        </is>
      </c>
      <c r="D45" s="204" t="inlineStr">
        <is>
          <t>шт</t>
        </is>
      </c>
      <c r="E45" s="78" t="n">
        <v>87.39400000000001</v>
      </c>
      <c r="F45" s="213" t="n">
        <v>88.14</v>
      </c>
      <c r="G45" s="76">
        <f>ROUND(E45*F45,2)</f>
        <v/>
      </c>
      <c r="H45" s="152">
        <f>G45/$G$80</f>
        <v/>
      </c>
      <c r="I45" s="76">
        <f>ROUND(F45*Прил.10!$D$13,2)</f>
        <v/>
      </c>
      <c r="J45" s="76">
        <f>ROUND(I45*E45,2)</f>
        <v/>
      </c>
    </row>
    <row r="46" hidden="1" outlineLevel="1" ht="25.5" customFormat="1" customHeight="1" s="170">
      <c r="A46" s="204" t="n">
        <v>18</v>
      </c>
      <c r="B46" s="204" t="inlineStr">
        <is>
          <t>22.2.01.04-0002</t>
        </is>
      </c>
      <c r="C46" s="211" t="inlineStr">
        <is>
          <t>Изолятор линейный штыревой фарфоровый ШФ 20-Г</t>
        </is>
      </c>
      <c r="D46" s="204" t="inlineStr">
        <is>
          <t>шт</t>
        </is>
      </c>
      <c r="E46" s="78" t="n">
        <v>122</v>
      </c>
      <c r="F46" s="213" t="n">
        <v>46.72</v>
      </c>
      <c r="G46" s="76">
        <f>ROUND(E46*F46,2)</f>
        <v/>
      </c>
      <c r="H46" s="152">
        <f>G46/$G$80</f>
        <v/>
      </c>
      <c r="I46" s="76">
        <f>ROUND(F46*Прил.10!$D$13,2)</f>
        <v/>
      </c>
      <c r="J46" s="76">
        <f>ROUND(I46*E46,2)</f>
        <v/>
      </c>
    </row>
    <row r="47" hidden="1" outlineLevel="1" ht="25.5" customFormat="1" customHeight="1" s="170">
      <c r="A47" s="204" t="n">
        <v>19</v>
      </c>
      <c r="B47" s="204" t="inlineStr">
        <is>
          <t>22.2.02.04-0041</t>
        </is>
      </c>
      <c r="C47" s="211" t="inlineStr">
        <is>
          <t>Звено промежуточное трехлапчатое ПРТ-7-1</t>
        </is>
      </c>
      <c r="D47" s="204" t="inlineStr">
        <is>
          <t>шт</t>
        </is>
      </c>
      <c r="E47" s="78" t="n">
        <v>150</v>
      </c>
      <c r="F47" s="213" t="n">
        <v>36.42</v>
      </c>
      <c r="G47" s="76">
        <f>ROUND(E47*F47,2)</f>
        <v/>
      </c>
      <c r="H47" s="152">
        <f>G47/$G$80</f>
        <v/>
      </c>
      <c r="I47" s="76">
        <f>ROUND(F47*Прил.10!$D$13,2)</f>
        <v/>
      </c>
      <c r="J47" s="76">
        <f>ROUND(I47*E47,2)</f>
        <v/>
      </c>
    </row>
    <row r="48" hidden="1" outlineLevel="1" ht="14.25" customFormat="1" customHeight="1" s="170">
      <c r="A48" s="204" t="n">
        <v>20</v>
      </c>
      <c r="B48" s="204" t="inlineStr">
        <is>
          <t>20.1.02.22-0005</t>
        </is>
      </c>
      <c r="C48" s="211" t="inlineStr">
        <is>
          <t>Ушко: однолапчатое У1-7-16</t>
        </is>
      </c>
      <c r="D48" s="204" t="inlineStr">
        <is>
          <t>шт</t>
        </is>
      </c>
      <c r="E48" s="78" t="n">
        <v>126</v>
      </c>
      <c r="F48" s="213" t="n">
        <v>39.32</v>
      </c>
      <c r="G48" s="76">
        <f>ROUND(E48*F48,2)</f>
        <v/>
      </c>
      <c r="H48" s="152">
        <f>G48/$G$80</f>
        <v/>
      </c>
      <c r="I48" s="76">
        <f>ROUND(F48*Прил.10!$D$13,2)</f>
        <v/>
      </c>
      <c r="J48" s="76">
        <f>ROUND(I48*E48,2)</f>
        <v/>
      </c>
    </row>
    <row r="49" hidden="1" outlineLevel="1" ht="25.5" customFormat="1" customHeight="1" s="170">
      <c r="A49" s="204" t="n">
        <v>21</v>
      </c>
      <c r="B49" s="204" t="inlineStr">
        <is>
          <t>20.1.01.11-0022</t>
        </is>
      </c>
      <c r="C49" s="211" t="inlineStr">
        <is>
          <t>Зажим соединительный: плашечный ПС-2-1</t>
        </is>
      </c>
      <c r="D49" s="204" t="inlineStr">
        <is>
          <t>шт</t>
        </is>
      </c>
      <c r="E49" s="78" t="n">
        <v>300</v>
      </c>
      <c r="F49" s="213" t="n">
        <v>12.53</v>
      </c>
      <c r="G49" s="76">
        <f>ROUND(E49*F49,2)</f>
        <v/>
      </c>
      <c r="H49" s="152">
        <f>G49/$G$80</f>
        <v/>
      </c>
      <c r="I49" s="76">
        <f>ROUND(F49*Прил.10!$D$13,2)</f>
        <v/>
      </c>
      <c r="J49" s="76">
        <f>ROUND(I49*E49,2)</f>
        <v/>
      </c>
    </row>
    <row r="50" hidden="1" outlineLevel="1" ht="14.25" customFormat="1" customHeight="1" s="170">
      <c r="A50" s="204" t="n">
        <v>22</v>
      </c>
      <c r="B50" s="204" t="inlineStr">
        <is>
          <t>07.2.07.13-0221</t>
        </is>
      </c>
      <c r="C50" s="211" t="inlineStr">
        <is>
          <t>Хомуты стальные</t>
        </is>
      </c>
      <c r="D50" s="204" t="inlineStr">
        <is>
          <t>кг</t>
        </is>
      </c>
      <c r="E50" s="78" t="n">
        <v>365.2</v>
      </c>
      <c r="F50" s="213" t="n">
        <v>9.6</v>
      </c>
      <c r="G50" s="76">
        <f>ROUND(E50*F50,2)</f>
        <v/>
      </c>
      <c r="H50" s="152">
        <f>G50/$G$80</f>
        <v/>
      </c>
      <c r="I50" s="76">
        <f>ROUND(F50*Прил.10!$D$13,2)</f>
        <v/>
      </c>
      <c r="J50" s="76">
        <f>ROUND(I50*E50,2)</f>
        <v/>
      </c>
    </row>
    <row r="51" hidden="1" outlineLevel="1" ht="25.5" customFormat="1" customHeight="1" s="170">
      <c r="A51" s="204" t="n">
        <v>23</v>
      </c>
      <c r="B51" s="204" t="inlineStr">
        <is>
          <t>08.3.04.02-0095</t>
        </is>
      </c>
      <c r="C51" s="211" t="inlineStr">
        <is>
          <t>Круг стальной горячекатаный, марка стали ВСт3пс5-1, диаметр 16 мм</t>
        </is>
      </c>
      <c r="D51" s="204" t="inlineStr">
        <is>
          <t>т</t>
        </is>
      </c>
      <c r="E51" s="78" t="n">
        <v>0.6636</v>
      </c>
      <c r="F51" s="213" t="n">
        <v>5230.01</v>
      </c>
      <c r="G51" s="76">
        <f>ROUND(E51*F51,2)</f>
        <v/>
      </c>
      <c r="H51" s="152">
        <f>G51/$G$80</f>
        <v/>
      </c>
      <c r="I51" s="76">
        <f>ROUND(F51*Прил.10!$D$13,2)</f>
        <v/>
      </c>
      <c r="J51" s="76">
        <f>ROUND(I51*E51,2)</f>
        <v/>
      </c>
    </row>
    <row r="52" hidden="1" outlineLevel="1" ht="14.25" customFormat="1" customHeight="1" s="170">
      <c r="A52" s="204" t="n">
        <v>24</v>
      </c>
      <c r="B52" s="204" t="inlineStr">
        <is>
          <t>22.2.02.14-0022</t>
        </is>
      </c>
      <c r="C52" s="211" t="inlineStr">
        <is>
          <t>Проволока стальная оцинкованная</t>
        </is>
      </c>
      <c r="D52" s="204" t="inlineStr">
        <is>
          <t>т</t>
        </is>
      </c>
      <c r="E52" s="78" t="n">
        <v>0.2</v>
      </c>
      <c r="F52" s="213" t="n">
        <v>10270</v>
      </c>
      <c r="G52" s="76">
        <f>ROUND(E52*F52,2)</f>
        <v/>
      </c>
      <c r="H52" s="152">
        <f>G52/$G$80</f>
        <v/>
      </c>
      <c r="I52" s="76">
        <f>ROUND(F52*Прил.10!$D$13,2)</f>
        <v/>
      </c>
      <c r="J52" s="76">
        <f>ROUND(I52*E52,2)</f>
        <v/>
      </c>
    </row>
    <row r="53" hidden="1" outlineLevel="1" ht="14.25" customFormat="1" customHeight="1" s="170">
      <c r="A53" s="204" t="n">
        <v>25</v>
      </c>
      <c r="B53" s="204" t="inlineStr">
        <is>
          <t>20.2.02.04-0006</t>
        </is>
      </c>
      <c r="C53" s="211" t="inlineStr">
        <is>
          <t>Колпачки полиэтиленовые</t>
        </is>
      </c>
      <c r="D53" s="204" t="inlineStr">
        <is>
          <t>100 шт</t>
        </is>
      </c>
      <c r="E53" s="78" t="n">
        <v>2.52</v>
      </c>
      <c r="F53" s="213" t="n">
        <v>610</v>
      </c>
      <c r="G53" s="76">
        <f>ROUND(E53*F53,2)</f>
        <v/>
      </c>
      <c r="H53" s="152">
        <f>G53/$G$80</f>
        <v/>
      </c>
      <c r="I53" s="76">
        <f>ROUND(F53*Прил.10!$D$13,2)</f>
        <v/>
      </c>
      <c r="J53" s="76">
        <f>ROUND(I53*E53,2)</f>
        <v/>
      </c>
    </row>
    <row r="54" hidden="1" outlineLevel="1" ht="14.25" customFormat="1" customHeight="1" s="170">
      <c r="A54" s="204" t="n">
        <v>26</v>
      </c>
      <c r="B54" s="204" t="inlineStr">
        <is>
          <t>20.2.06.05-0001</t>
        </is>
      </c>
      <c r="C54" s="211" t="inlineStr">
        <is>
          <t>Кронштейны</t>
        </is>
      </c>
      <c r="D54" s="204" t="inlineStr">
        <is>
          <t>кг</t>
        </is>
      </c>
      <c r="E54" s="78" t="n">
        <v>120</v>
      </c>
      <c r="F54" s="213" t="n">
        <v>9.119999999999999</v>
      </c>
      <c r="G54" s="76">
        <f>ROUND(E54*F54,2)</f>
        <v/>
      </c>
      <c r="H54" s="152">
        <f>G54/$G$80</f>
        <v/>
      </c>
      <c r="I54" s="76">
        <f>ROUND(F54*Прил.10!$D$13,2)</f>
        <v/>
      </c>
      <c r="J54" s="76">
        <f>ROUND(I54*E54,2)</f>
        <v/>
      </c>
    </row>
    <row r="55" hidden="1" outlineLevel="1" ht="25.5" customFormat="1" customHeight="1" s="170">
      <c r="A55" s="204" t="n">
        <v>27</v>
      </c>
      <c r="B55" s="204" t="inlineStr">
        <is>
          <t>20.1.01.11-0004</t>
        </is>
      </c>
      <c r="C55" s="211" t="inlineStr">
        <is>
          <t>Зажим: плашечный соединительный ПА 2-2</t>
        </is>
      </c>
      <c r="D55" s="204" t="inlineStr">
        <is>
          <t>шт</t>
        </is>
      </c>
      <c r="E55" s="78" t="n">
        <v>118</v>
      </c>
      <c r="F55" s="213" t="n">
        <v>6.78</v>
      </c>
      <c r="G55" s="76">
        <f>ROUND(E55*F55,2)</f>
        <v/>
      </c>
      <c r="H55" s="152">
        <f>G55/$G$80</f>
        <v/>
      </c>
      <c r="I55" s="76">
        <f>ROUND(F55*Прил.10!$D$13,2)</f>
        <v/>
      </c>
      <c r="J55" s="76">
        <f>ROUND(I55*E55,2)</f>
        <v/>
      </c>
    </row>
    <row r="56" hidden="1" outlineLevel="1" ht="14.25" customFormat="1" customHeight="1" s="170">
      <c r="A56" s="204" t="n">
        <v>28</v>
      </c>
      <c r="B56" s="204" t="inlineStr">
        <is>
          <t>20.1.01.02-0047</t>
        </is>
      </c>
      <c r="C56" s="211" t="inlineStr">
        <is>
          <t>Зажим аппаратный прессуемый: А2А-70-2</t>
        </is>
      </c>
      <c r="D56" s="204" t="inlineStr">
        <is>
          <t>100 шт</t>
        </is>
      </c>
      <c r="E56" s="78" t="n">
        <v>0.36</v>
      </c>
      <c r="F56" s="213" t="n">
        <v>2089</v>
      </c>
      <c r="G56" s="76">
        <f>ROUND(E56*F56,2)</f>
        <v/>
      </c>
      <c r="H56" s="152">
        <f>G56/$G$80</f>
        <v/>
      </c>
      <c r="I56" s="76">
        <f>ROUND(F56*Прил.10!$D$13,2)</f>
        <v/>
      </c>
      <c r="J56" s="76">
        <f>ROUND(I56*E56,2)</f>
        <v/>
      </c>
    </row>
    <row r="57" hidden="1" outlineLevel="1" ht="25.5" customFormat="1" customHeight="1" s="170">
      <c r="A57" s="204" t="n">
        <v>29</v>
      </c>
      <c r="B57" s="204" t="inlineStr">
        <is>
          <t>08.3.04.02-0092</t>
        </is>
      </c>
      <c r="C57" s="211" t="inlineStr">
        <is>
          <t>Круг стальной горячекатаный, марка стали ВСт3пс5-1, диаметр 10 мм</t>
        </is>
      </c>
      <c r="D57" s="204" t="inlineStr">
        <is>
          <t>т</t>
        </is>
      </c>
      <c r="E57" s="78" t="n">
        <v>0.1034</v>
      </c>
      <c r="F57" s="213" t="n">
        <v>5230.01</v>
      </c>
      <c r="G57" s="76">
        <f>ROUND(E57*F57,2)</f>
        <v/>
      </c>
      <c r="H57" s="152">
        <f>G57/$G$80</f>
        <v/>
      </c>
      <c r="I57" s="76">
        <f>ROUND(F57*Прил.10!$D$13,2)</f>
        <v/>
      </c>
      <c r="J57" s="76">
        <f>ROUND(I57*E57,2)</f>
        <v/>
      </c>
    </row>
    <row r="58" hidden="1" outlineLevel="1" ht="14.25" customFormat="1" customHeight="1" s="170">
      <c r="A58" s="204" t="n">
        <v>30</v>
      </c>
      <c r="B58" s="204" t="inlineStr">
        <is>
          <t>08.3.07.01-0035</t>
        </is>
      </c>
      <c r="C58" s="211" t="inlineStr">
        <is>
          <t>Сталь полосовая: 25х4 мм, марка Ст3сп</t>
        </is>
      </c>
      <c r="D58" s="204" t="inlineStr">
        <is>
          <t>т</t>
        </is>
      </c>
      <c r="E58" s="78" t="n">
        <v>0.0854</v>
      </c>
      <c r="F58" s="213" t="n">
        <v>6159.22</v>
      </c>
      <c r="G58" s="76">
        <f>ROUND(E58*F58,2)</f>
        <v/>
      </c>
      <c r="H58" s="152">
        <f>G58/$G$80</f>
        <v/>
      </c>
      <c r="I58" s="76">
        <f>ROUND(F58*Прил.10!$D$13,2)</f>
        <v/>
      </c>
      <c r="J58" s="76">
        <f>ROUND(I58*E58,2)</f>
        <v/>
      </c>
    </row>
    <row r="59" hidden="1" outlineLevel="1" ht="14.25" customFormat="1" customHeight="1" s="170">
      <c r="A59" s="204" t="n">
        <v>31</v>
      </c>
      <c r="B59" s="204" t="inlineStr">
        <is>
          <t>10.1.02.03-0002</t>
        </is>
      </c>
      <c r="C59" s="211" t="inlineStr">
        <is>
          <t>Проволока алюминиевая, диаметр 3 мм</t>
        </is>
      </c>
      <c r="D59" s="204" t="inlineStr">
        <is>
          <t>т</t>
        </is>
      </c>
      <c r="E59" s="78" t="n">
        <v>0.0156</v>
      </c>
      <c r="F59" s="213" t="n">
        <v>29010.49</v>
      </c>
      <c r="G59" s="76">
        <f>ROUND(E59*F59,2)</f>
        <v/>
      </c>
      <c r="H59" s="152">
        <f>G59/$G$80</f>
        <v/>
      </c>
      <c r="I59" s="76">
        <f>ROUND(F59*Прил.10!$D$13,2)</f>
        <v/>
      </c>
      <c r="J59" s="76">
        <f>ROUND(I59*E59,2)</f>
        <v/>
      </c>
    </row>
    <row r="60" hidden="1" outlineLevel="1" ht="51" customFormat="1" customHeight="1" s="170">
      <c r="A60" s="204" t="n">
        <v>32</v>
      </c>
      <c r="B60" s="204" t="inlineStr">
        <is>
          <t>25.2.02.11-0021</t>
        </is>
      </c>
      <c r="C60" s="211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D60" s="204" t="inlineStr">
        <is>
          <t>шт</t>
        </is>
      </c>
      <c r="E60" s="78" t="n">
        <v>0.4</v>
      </c>
      <c r="F60" s="213" t="n">
        <v>943.0599999999999</v>
      </c>
      <c r="G60" s="76">
        <f>ROUND(E60*F60,2)</f>
        <v/>
      </c>
      <c r="H60" s="152">
        <f>G60/$G$80</f>
        <v/>
      </c>
      <c r="I60" s="76">
        <f>ROUND(F60*Прил.10!$D$13,2)</f>
        <v/>
      </c>
      <c r="J60" s="76">
        <f>ROUND(I60*E60,2)</f>
        <v/>
      </c>
    </row>
    <row r="61" hidden="1" outlineLevel="1" ht="25.5" customFormat="1" customHeight="1" s="170">
      <c r="A61" s="204" t="n">
        <v>33</v>
      </c>
      <c r="B61" s="204" t="inlineStr">
        <is>
          <t>20.2.02.03-0011</t>
        </is>
      </c>
      <c r="C61" s="211" t="inlineStr">
        <is>
          <t>Кожух защитный для соединений проводов</t>
        </is>
      </c>
      <c r="D61" s="204" t="inlineStr">
        <is>
          <t>шт</t>
        </is>
      </c>
      <c r="E61" s="78" t="n">
        <v>2</v>
      </c>
      <c r="F61" s="213" t="n">
        <v>161.1</v>
      </c>
      <c r="G61" s="76">
        <f>ROUND(E61*F61,2)</f>
        <v/>
      </c>
      <c r="H61" s="152">
        <f>G61/$G$80</f>
        <v/>
      </c>
      <c r="I61" s="76">
        <f>ROUND(F61*Прил.10!$D$13,2)</f>
        <v/>
      </c>
      <c r="J61" s="76">
        <f>ROUND(I61*E61,2)</f>
        <v/>
      </c>
    </row>
    <row r="62" hidden="1" outlineLevel="1" ht="25.5" customFormat="1" customHeight="1" s="170">
      <c r="A62" s="204" t="n">
        <v>34</v>
      </c>
      <c r="B62" s="204" t="inlineStr">
        <is>
          <t>14.4.02.04-0015</t>
        </is>
      </c>
      <c r="C62" s="211" t="inlineStr">
        <is>
          <t>Краска масляная для внутренних работ МА-015, черная густотертая</t>
        </is>
      </c>
      <c r="D62" s="204" t="inlineStr">
        <is>
          <t>т</t>
        </is>
      </c>
      <c r="E62" s="78" t="n">
        <v>0.0168</v>
      </c>
      <c r="F62" s="213" t="n">
        <v>15707</v>
      </c>
      <c r="G62" s="76">
        <f>ROUND(E62*F62,2)</f>
        <v/>
      </c>
      <c r="H62" s="152">
        <f>G62/$G$80</f>
        <v/>
      </c>
      <c r="I62" s="76">
        <f>ROUND(F62*Прил.10!$D$13,2)</f>
        <v/>
      </c>
      <c r="J62" s="76">
        <f>ROUND(I62*E62,2)</f>
        <v/>
      </c>
    </row>
    <row r="63" hidden="1" outlineLevel="1" ht="14.25" customFormat="1" customHeight="1" s="170">
      <c r="A63" s="204" t="n">
        <v>35</v>
      </c>
      <c r="B63" s="204" t="inlineStr">
        <is>
          <t>20.1.02.23-0082</t>
        </is>
      </c>
      <c r="C63" s="211" t="inlineStr">
        <is>
          <t>Перемычки гибкие, тип ПГС-50</t>
        </is>
      </c>
      <c r="D63" s="204" t="inlineStr">
        <is>
          <t>10 шт</t>
        </is>
      </c>
      <c r="E63" s="78" t="n">
        <v>4.646</v>
      </c>
      <c r="F63" s="213" t="n">
        <v>39</v>
      </c>
      <c r="G63" s="76">
        <f>ROUND(E63*F63,2)</f>
        <v/>
      </c>
      <c r="H63" s="152">
        <f>G63/$G$80</f>
        <v/>
      </c>
      <c r="I63" s="76">
        <f>ROUND(F63*Прил.10!$D$13,2)</f>
        <v/>
      </c>
      <c r="J63" s="76">
        <f>ROUND(I63*E63,2)</f>
        <v/>
      </c>
    </row>
    <row r="64" hidden="1" outlineLevel="1" ht="14.25" customFormat="1" customHeight="1" s="170">
      <c r="A64" s="204" t="n">
        <v>36</v>
      </c>
      <c r="B64" s="204" t="inlineStr">
        <is>
          <t>20.1.02.23-0121</t>
        </is>
      </c>
      <c r="C64" s="211" t="inlineStr">
        <is>
          <t>Проводник заземляющий П-750</t>
        </is>
      </c>
      <c r="D64" s="204" t="inlineStr">
        <is>
          <t>шт</t>
        </is>
      </c>
      <c r="E64" s="78" t="n">
        <v>12</v>
      </c>
      <c r="F64" s="213" t="n">
        <v>13.55</v>
      </c>
      <c r="G64" s="76">
        <f>ROUND(E64*F64,2)</f>
        <v/>
      </c>
      <c r="H64" s="152">
        <f>G64/$G$80</f>
        <v/>
      </c>
      <c r="I64" s="76">
        <f>ROUND(F64*Прил.10!$D$13,2)</f>
        <v/>
      </c>
      <c r="J64" s="76">
        <f>ROUND(I64*E64,2)</f>
        <v/>
      </c>
    </row>
    <row r="65" hidden="1" outlineLevel="1" ht="14.25" customFormat="1" customHeight="1" s="170">
      <c r="A65" s="204" t="n">
        <v>37</v>
      </c>
      <c r="B65" s="204" t="inlineStr">
        <is>
          <t>01.3.01.06-0038</t>
        </is>
      </c>
      <c r="C65" s="211" t="inlineStr">
        <is>
          <t>Смазка защитная электросетевая</t>
        </is>
      </c>
      <c r="D65" s="204" t="inlineStr">
        <is>
          <t>кг</t>
        </is>
      </c>
      <c r="E65" s="78" t="n">
        <v>8.6904</v>
      </c>
      <c r="F65" s="213" t="n">
        <v>14.4</v>
      </c>
      <c r="G65" s="76">
        <f>ROUND(E65*F65,2)</f>
        <v/>
      </c>
      <c r="H65" s="152">
        <f>G65/$G$80</f>
        <v/>
      </c>
      <c r="I65" s="76">
        <f>ROUND(F65*Прил.10!$D$13,2)</f>
        <v/>
      </c>
      <c r="J65" s="76">
        <f>ROUND(I65*E65,2)</f>
        <v/>
      </c>
    </row>
    <row r="66" hidden="1" outlineLevel="1" ht="14.25" customFormat="1" customHeight="1" s="170">
      <c r="A66" s="204" t="n">
        <v>38</v>
      </c>
      <c r="B66" s="204" t="inlineStr">
        <is>
          <t>01.7.11.07-0032</t>
        </is>
      </c>
      <c r="C66" s="211" t="inlineStr">
        <is>
          <t>Электроды сварочные Э42, диаметр 4 мм</t>
        </is>
      </c>
      <c r="D66" s="204" t="inlineStr">
        <is>
          <t>т</t>
        </is>
      </c>
      <c r="E66" s="78" t="n">
        <v>0.007</v>
      </c>
      <c r="F66" s="213" t="n">
        <v>10315.01</v>
      </c>
      <c r="G66" s="76">
        <f>ROUND(E66*F66,2)</f>
        <v/>
      </c>
      <c r="H66" s="152">
        <f>G66/$G$80</f>
        <v/>
      </c>
      <c r="I66" s="76">
        <f>ROUND(F66*Прил.10!$D$13,2)</f>
        <v/>
      </c>
      <c r="J66" s="76">
        <f>ROUND(I66*E66,2)</f>
        <v/>
      </c>
    </row>
    <row r="67" hidden="1" outlineLevel="1" ht="25.5" customFormat="1" customHeight="1" s="170">
      <c r="A67" s="204" t="n">
        <v>39</v>
      </c>
      <c r="B67" s="204" t="inlineStr">
        <is>
          <t>25.2.02.11-0051</t>
        </is>
      </c>
      <c r="C67" s="211" t="inlineStr">
        <is>
          <t>Скрепа для фиксации на промежуточных опорах, размер 20 мм</t>
        </is>
      </c>
      <c r="D67" s="204" t="inlineStr">
        <is>
          <t>100 шт</t>
        </is>
      </c>
      <c r="E67" s="78" t="n">
        <v>0.12</v>
      </c>
      <c r="F67" s="213" t="n">
        <v>582</v>
      </c>
      <c r="G67" s="76">
        <f>ROUND(E67*F67,2)</f>
        <v/>
      </c>
      <c r="H67" s="152">
        <f>G67/$G$80</f>
        <v/>
      </c>
      <c r="I67" s="76">
        <f>ROUND(F67*Прил.10!$D$13,2)</f>
        <v/>
      </c>
      <c r="J67" s="76">
        <f>ROUND(I67*E67,2)</f>
        <v/>
      </c>
    </row>
    <row r="68" hidden="1" outlineLevel="1" ht="14.25" customFormat="1" customHeight="1" s="170">
      <c r="A68" s="204" t="n">
        <v>40</v>
      </c>
      <c r="B68" s="204" t="inlineStr">
        <is>
          <t>14.4.03.03-0102</t>
        </is>
      </c>
      <c r="C68" s="211" t="inlineStr">
        <is>
          <t>Лак битумный БТ-577</t>
        </is>
      </c>
      <c r="D68" s="204" t="inlineStr">
        <is>
          <t>т</t>
        </is>
      </c>
      <c r="E68" s="78" t="n">
        <v>0.0072</v>
      </c>
      <c r="F68" s="213" t="n">
        <v>9550.01</v>
      </c>
      <c r="G68" s="76">
        <f>ROUND(E68*F68,2)</f>
        <v/>
      </c>
      <c r="H68" s="152">
        <f>G68/$G$80</f>
        <v/>
      </c>
      <c r="I68" s="76">
        <f>ROUND(F68*Прил.10!$D$13,2)</f>
        <v/>
      </c>
      <c r="J68" s="76">
        <f>ROUND(I68*E68,2)</f>
        <v/>
      </c>
    </row>
    <row r="69" hidden="1" outlineLevel="1" ht="38.25" customFormat="1" customHeight="1" s="170">
      <c r="A69" s="204" t="n">
        <v>41</v>
      </c>
      <c r="B69" s="204" t="inlineStr">
        <is>
          <t>25.2.02.01-0011</t>
        </is>
      </c>
      <c r="C69" s="211" t="inlineStr">
        <is>
          <t>Болт специальный для крепления с гайкой и шайбой, диаметр 12-16 мм, длина 400 мм</t>
        </is>
      </c>
      <c r="D69" s="204" t="inlineStr">
        <is>
          <t>т</t>
        </is>
      </c>
      <c r="E69" s="78" t="n">
        <v>0.0042</v>
      </c>
      <c r="F69" s="213" t="n">
        <v>12539.84</v>
      </c>
      <c r="G69" s="76">
        <f>ROUND(E69*F69,2)</f>
        <v/>
      </c>
      <c r="H69" s="152">
        <f>G69/$G$80</f>
        <v/>
      </c>
      <c r="I69" s="76">
        <f>ROUND(F69*Прил.10!$D$13,2)</f>
        <v/>
      </c>
      <c r="J69" s="76">
        <f>ROUND(I69*E69,2)</f>
        <v/>
      </c>
    </row>
    <row r="70" hidden="1" outlineLevel="1" ht="14.25" customFormat="1" customHeight="1" s="170">
      <c r="A70" s="204" t="n">
        <v>42</v>
      </c>
      <c r="B70" s="204" t="inlineStr">
        <is>
          <t>01.7.15.03-0042</t>
        </is>
      </c>
      <c r="C70" s="211" t="inlineStr">
        <is>
          <t>Болты с гайками и шайбами строительные</t>
        </is>
      </c>
      <c r="D70" s="204" t="inlineStr">
        <is>
          <t>кг</t>
        </is>
      </c>
      <c r="E70" s="78" t="n">
        <v>4.924</v>
      </c>
      <c r="F70" s="213" t="n">
        <v>9.039999999999999</v>
      </c>
      <c r="G70" s="76">
        <f>ROUND(E70*F70,2)</f>
        <v/>
      </c>
      <c r="H70" s="152">
        <f>G70/$G$80</f>
        <v/>
      </c>
      <c r="I70" s="76">
        <f>ROUND(F70*Прил.10!$D$13,2)</f>
        <v/>
      </c>
      <c r="J70" s="76">
        <f>ROUND(I70*E70,2)</f>
        <v/>
      </c>
    </row>
    <row r="71" hidden="1" outlineLevel="1" ht="14.25" customFormat="1" customHeight="1" s="170">
      <c r="A71" s="204" t="n">
        <v>43</v>
      </c>
      <c r="B71" s="204" t="inlineStr">
        <is>
          <t>01.7.15.07-0014</t>
        </is>
      </c>
      <c r="C71" s="211" t="inlineStr">
        <is>
          <t>Дюбели распорные полипропиленовые</t>
        </is>
      </c>
      <c r="D71" s="204" t="inlineStr">
        <is>
          <t>100 шт</t>
        </is>
      </c>
      <c r="E71" s="78" t="n">
        <v>0.4646</v>
      </c>
      <c r="F71" s="213" t="n">
        <v>86</v>
      </c>
      <c r="G71" s="76">
        <f>ROUND(E71*F71,2)</f>
        <v/>
      </c>
      <c r="H71" s="152">
        <f>G71/$G$80</f>
        <v/>
      </c>
      <c r="I71" s="76">
        <f>ROUND(F71*Прил.10!$D$13,2)</f>
        <v/>
      </c>
      <c r="J71" s="76">
        <f>ROUND(I71*E71,2)</f>
        <v/>
      </c>
    </row>
    <row r="72" hidden="1" outlineLevel="1" ht="14.25" customFormat="1" customHeight="1" s="170">
      <c r="A72" s="204" t="n">
        <v>44</v>
      </c>
      <c r="B72" s="204" t="inlineStr">
        <is>
          <t>14.4.02.09-0001</t>
        </is>
      </c>
      <c r="C72" s="211" t="inlineStr">
        <is>
          <t>Краска</t>
        </is>
      </c>
      <c r="D72" s="204" t="inlineStr">
        <is>
          <t>кг</t>
        </is>
      </c>
      <c r="E72" s="78" t="n">
        <v>0.9292</v>
      </c>
      <c r="F72" s="213" t="n">
        <v>28.6</v>
      </c>
      <c r="G72" s="76">
        <f>ROUND(E72*F72,2)</f>
        <v/>
      </c>
      <c r="H72" s="152">
        <f>G72/$G$80</f>
        <v/>
      </c>
      <c r="I72" s="76">
        <f>ROUND(F72*Прил.10!$D$13,2)</f>
        <v/>
      </c>
      <c r="J72" s="76">
        <f>ROUND(I72*E72,2)</f>
        <v/>
      </c>
    </row>
    <row r="73" hidden="1" outlineLevel="1" ht="14.25" customFormat="1" customHeight="1" s="170">
      <c r="A73" s="204" t="n">
        <v>45</v>
      </c>
      <c r="B73" s="204" t="inlineStr">
        <is>
          <t>08.3.03.06-0001</t>
        </is>
      </c>
      <c r="C73" s="211" t="inlineStr">
        <is>
          <t>Проволока вязальная</t>
        </is>
      </c>
      <c r="D73" s="204" t="inlineStr">
        <is>
          <t>кг</t>
        </is>
      </c>
      <c r="E73" s="78" t="n">
        <v>2.5872</v>
      </c>
      <c r="F73" s="213" t="n">
        <v>9.5</v>
      </c>
      <c r="G73" s="76">
        <f>ROUND(E73*F73,2)</f>
        <v/>
      </c>
      <c r="H73" s="152">
        <f>G73/$G$80</f>
        <v/>
      </c>
      <c r="I73" s="76">
        <f>ROUND(F73*Прил.10!$D$13,2)</f>
        <v/>
      </c>
      <c r="J73" s="76">
        <f>ROUND(I73*E73,2)</f>
        <v/>
      </c>
    </row>
    <row r="74" hidden="1" outlineLevel="1" ht="14.25" customFormat="1" customHeight="1" s="170">
      <c r="A74" s="204" t="n">
        <v>46</v>
      </c>
      <c r="B74" s="204" t="inlineStr">
        <is>
          <t>14.5.09.11-0102</t>
        </is>
      </c>
      <c r="C74" s="211" t="inlineStr">
        <is>
          <t>Уайт-спирит</t>
        </is>
      </c>
      <c r="D74" s="204" t="inlineStr">
        <is>
          <t>кг</t>
        </is>
      </c>
      <c r="E74" s="78" t="n">
        <v>3</v>
      </c>
      <c r="F74" s="213" t="n">
        <v>6.67</v>
      </c>
      <c r="G74" s="76">
        <f>ROUND(E74*F74,2)</f>
        <v/>
      </c>
      <c r="H74" s="152">
        <f>G74/$G$80</f>
        <v/>
      </c>
      <c r="I74" s="76">
        <f>ROUND(F74*Прил.10!$D$13,2)</f>
        <v/>
      </c>
      <c r="J74" s="76">
        <f>ROUND(I74*E74,2)</f>
        <v/>
      </c>
    </row>
    <row r="75" hidden="1" outlineLevel="1" ht="14.25" customFormat="1" customHeight="1" s="170">
      <c r="A75" s="204" t="n">
        <v>47</v>
      </c>
      <c r="B75" s="204" t="inlineStr">
        <is>
          <t>01.3.01.06-0046</t>
        </is>
      </c>
      <c r="C75" s="211" t="inlineStr">
        <is>
          <t>Смазка солидол жировой марки «Ж»</t>
        </is>
      </c>
      <c r="D75" s="204" t="inlineStr">
        <is>
          <t>т</t>
        </is>
      </c>
      <c r="E75" s="78" t="n">
        <v>0.002</v>
      </c>
      <c r="F75" s="213" t="n">
        <v>9661.5</v>
      </c>
      <c r="G75" s="76">
        <f>ROUND(E75*F75,2)</f>
        <v/>
      </c>
      <c r="H75" s="152">
        <f>G75/$G$80</f>
        <v/>
      </c>
      <c r="I75" s="76">
        <f>ROUND(F75*Прил.10!$D$13,2)</f>
        <v/>
      </c>
      <c r="J75" s="76">
        <f>ROUND(I75*E75,2)</f>
        <v/>
      </c>
    </row>
    <row r="76" hidden="1" outlineLevel="1" ht="14.25" customFormat="1" customHeight="1" s="170">
      <c r="A76" s="204" t="n">
        <v>48</v>
      </c>
      <c r="B76" s="204" t="inlineStr">
        <is>
          <t>01.3.01.01-0010</t>
        </is>
      </c>
      <c r="C76" s="211" t="inlineStr">
        <is>
          <t>Бензин-растворитель</t>
        </is>
      </c>
      <c r="D76" s="204" t="inlineStr">
        <is>
          <t>кг</t>
        </is>
      </c>
      <c r="E76" s="78" t="n">
        <v>1.6</v>
      </c>
      <c r="F76" s="213" t="n">
        <v>6.15</v>
      </c>
      <c r="G76" s="76">
        <f>ROUND(E76*F76,2)</f>
        <v/>
      </c>
      <c r="H76" s="152">
        <f>G76/$G$80</f>
        <v/>
      </c>
      <c r="I76" s="76">
        <f>ROUND(F76*Прил.10!$D$13,2)</f>
        <v/>
      </c>
      <c r="J76" s="76">
        <f>ROUND(I76*E76,2)</f>
        <v/>
      </c>
    </row>
    <row r="77" hidden="1" outlineLevel="1" ht="14.25" customFormat="1" customHeight="1" s="170">
      <c r="A77" s="204" t="n">
        <v>49</v>
      </c>
      <c r="B77" s="204" t="inlineStr">
        <is>
          <t>01.7.20.08-0051</t>
        </is>
      </c>
      <c r="C77" s="211" t="inlineStr">
        <is>
          <t>Ветошь</t>
        </is>
      </c>
      <c r="D77" s="204" t="inlineStr">
        <is>
          <t>кг</t>
        </is>
      </c>
      <c r="E77" s="78" t="n">
        <v>2.7252</v>
      </c>
      <c r="F77" s="213" t="n">
        <v>1.82</v>
      </c>
      <c r="G77" s="76">
        <f>ROUND(E77*F77,2)</f>
        <v/>
      </c>
      <c r="H77" s="152">
        <f>G77/$G$80</f>
        <v/>
      </c>
      <c r="I77" s="76">
        <f>ROUND(F77*Прил.10!$D$13,2)</f>
        <v/>
      </c>
      <c r="J77" s="76">
        <f>ROUND(I77*E77,2)</f>
        <v/>
      </c>
    </row>
    <row r="78" hidden="1" outlineLevel="1" ht="25.5" customFormat="1" customHeight="1" s="170">
      <c r="A78" s="204" t="n">
        <v>50</v>
      </c>
      <c r="B78" s="204" t="inlineStr">
        <is>
          <t>999-9950</t>
        </is>
      </c>
      <c r="C78" s="211" t="inlineStr">
        <is>
          <t>Вспомогательные ненормируемые ресурсы (2% от Оплаты труда рабочих)</t>
        </is>
      </c>
      <c r="D78" s="204" t="inlineStr">
        <is>
          <t>руб.</t>
        </is>
      </c>
      <c r="E78" s="78" t="n">
        <v>1.3938</v>
      </c>
      <c r="F78" s="213" t="n">
        <v>1</v>
      </c>
      <c r="G78" s="76">
        <f>ROUND(E78*F78,2)</f>
        <v/>
      </c>
      <c r="H78" s="152">
        <f>G78/$G$80</f>
        <v/>
      </c>
      <c r="I78" s="76">
        <f>ROUND(F78*Прил.10!$D$13,2)</f>
        <v/>
      </c>
      <c r="J78" s="76">
        <f>ROUND(I78*E78,2)</f>
        <v/>
      </c>
    </row>
    <row r="79" collapsed="1" ht="14.25" customFormat="1" customHeight="1" s="170">
      <c r="A79" s="204" t="n"/>
      <c r="B79" s="204" t="n"/>
      <c r="C79" s="211" t="inlineStr">
        <is>
          <t>Итого прочие материалы</t>
        </is>
      </c>
      <c r="D79" s="204" t="n"/>
      <c r="E79" s="212" t="n"/>
      <c r="F79" s="213" t="n"/>
      <c r="G79" s="90">
        <f>SUM(G44:G78)</f>
        <v/>
      </c>
      <c r="H79" s="152">
        <f>G79/$G$80</f>
        <v/>
      </c>
      <c r="I79" s="76" t="n"/>
      <c r="J79" s="90">
        <f>SUM(J44:J78)</f>
        <v/>
      </c>
    </row>
    <row r="80" ht="14.25" customFormat="1" customHeight="1" s="170">
      <c r="A80" s="204" t="n"/>
      <c r="B80" s="204" t="n"/>
      <c r="C80" s="192" t="inlineStr">
        <is>
          <t>Итого по разделу «Материалы»</t>
        </is>
      </c>
      <c r="D80" s="204" t="n"/>
      <c r="E80" s="212" t="n"/>
      <c r="F80" s="213" t="n"/>
      <c r="G80" s="76">
        <f>G43+G79</f>
        <v/>
      </c>
      <c r="H80" s="152">
        <f>G80/$G$80</f>
        <v/>
      </c>
      <c r="I80" s="76" t="n"/>
      <c r="J80" s="76">
        <f>J43+J79</f>
        <v/>
      </c>
    </row>
    <row r="81" ht="14.25" customFormat="1" customHeight="1" s="170">
      <c r="A81" s="204" t="n"/>
      <c r="B81" s="204" t="n"/>
      <c r="C81" s="211" t="inlineStr">
        <is>
          <t>ИТОГО ПО РМ</t>
        </is>
      </c>
      <c r="D81" s="204" t="n"/>
      <c r="E81" s="212" t="n"/>
      <c r="F81" s="213" t="n"/>
      <c r="G81" s="76">
        <f>G14+G29+G80</f>
        <v/>
      </c>
      <c r="H81" s="214" t="n"/>
      <c r="I81" s="76" t="n"/>
      <c r="J81" s="76">
        <f>J14+J29+J80</f>
        <v/>
      </c>
    </row>
    <row r="82" ht="14.25" customFormat="1" customHeight="1" s="170">
      <c r="A82" s="204" t="n"/>
      <c r="B82" s="204" t="n"/>
      <c r="C82" s="211" t="inlineStr">
        <is>
          <t>Накладные расходы</t>
        </is>
      </c>
      <c r="D82" s="71">
        <f>ROUND(G82/(G$16+$G$14),2)</f>
        <v/>
      </c>
      <c r="E82" s="212" t="n"/>
      <c r="F82" s="213" t="n"/>
      <c r="G82" s="76" t="n">
        <v>5359</v>
      </c>
      <c r="H82" s="214" t="n"/>
      <c r="I82" s="76" t="n"/>
      <c r="J82" s="76">
        <f>ROUND(D82*(J14+J16),2)</f>
        <v/>
      </c>
    </row>
    <row r="83" ht="14.25" customFormat="1" customHeight="1" s="170">
      <c r="A83" s="204" t="n"/>
      <c r="B83" s="204" t="n"/>
      <c r="C83" s="211" t="inlineStr">
        <is>
          <t>Сметная прибыль</t>
        </is>
      </c>
      <c r="D83" s="71">
        <f>ROUND(G83/(G$14+G$16),2)</f>
        <v/>
      </c>
      <c r="E83" s="212" t="n"/>
      <c r="F83" s="213" t="n"/>
      <c r="G83" s="76" t="n">
        <v>3066</v>
      </c>
      <c r="H83" s="214" t="n"/>
      <c r="I83" s="76" t="n"/>
      <c r="J83" s="76">
        <f>ROUND(D83*(J14+J16),2)</f>
        <v/>
      </c>
    </row>
    <row r="84" ht="14.25" customFormat="1" customHeight="1" s="170">
      <c r="A84" s="204" t="n"/>
      <c r="B84" s="204" t="n"/>
      <c r="C84" s="211" t="inlineStr">
        <is>
          <t>Итого СМР (с НР и СП)</t>
        </is>
      </c>
      <c r="D84" s="204" t="n"/>
      <c r="E84" s="212" t="n"/>
      <c r="F84" s="213" t="n"/>
      <c r="G84" s="76">
        <f>G14+G29+G80+G82+G83</f>
        <v/>
      </c>
      <c r="H84" s="214" t="n"/>
      <c r="I84" s="76" t="n"/>
      <c r="J84" s="76">
        <f>J14+J29+J80+J82+J83</f>
        <v/>
      </c>
    </row>
    <row r="85" ht="14.25" customFormat="1" customHeight="1" s="170">
      <c r="A85" s="204" t="n"/>
      <c r="B85" s="204" t="n"/>
      <c r="C85" s="211" t="inlineStr">
        <is>
          <t>ВСЕГО СМР + ОБОРУДОВАНИЕ</t>
        </is>
      </c>
      <c r="D85" s="204" t="n"/>
      <c r="E85" s="212" t="n"/>
      <c r="F85" s="213" t="n"/>
      <c r="G85" s="76">
        <f>G84+G34</f>
        <v/>
      </c>
      <c r="H85" s="214" t="n"/>
      <c r="I85" s="76" t="n"/>
      <c r="J85" s="76">
        <f>J84+J34</f>
        <v/>
      </c>
    </row>
    <row r="86" ht="34.5" customFormat="1" customHeight="1" s="170">
      <c r="A86" s="204" t="n"/>
      <c r="B86" s="204" t="n"/>
      <c r="C86" s="211" t="inlineStr">
        <is>
          <t>ИТОГО ПОКАЗАТЕЛЬ НА ЕД. ИЗМ.</t>
        </is>
      </c>
      <c r="D86" s="204" t="inlineStr">
        <is>
          <t>км</t>
        </is>
      </c>
      <c r="E86" s="151" t="n">
        <v>0.886</v>
      </c>
      <c r="F86" s="213" t="n"/>
      <c r="G86" s="76">
        <f>G85/E86</f>
        <v/>
      </c>
      <c r="H86" s="214" t="n"/>
      <c r="I86" s="76" t="n"/>
      <c r="J86" s="76">
        <f>J85/E86</f>
        <v/>
      </c>
    </row>
    <row r="88" ht="14.25" customFormat="1" customHeight="1" s="170">
      <c r="A88" s="169" t="inlineStr">
        <is>
          <t>Составил ______________________     Е. М. Добровольская</t>
        </is>
      </c>
    </row>
    <row r="89" ht="14.25" customFormat="1" customHeight="1" s="170">
      <c r="A89" s="172" t="inlineStr">
        <is>
          <t xml:space="preserve">                         (подпись, инициалы, фамилия)</t>
        </is>
      </c>
    </row>
    <row r="90" ht="14.25" customFormat="1" customHeight="1" s="170">
      <c r="A90" s="169" t="n"/>
    </row>
    <row r="91" ht="14.25" customFormat="1" customHeight="1" s="170">
      <c r="A91" s="169" t="inlineStr">
        <is>
          <t>Проверил ______________________        А.В. Костянецкая</t>
        </is>
      </c>
    </row>
    <row r="92" ht="14.25" customFormat="1" customHeight="1" s="170">
      <c r="A92" s="172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B36:H36"/>
    <mergeCell ref="C9:C10"/>
    <mergeCell ref="E9:E10"/>
    <mergeCell ref="A7:H7"/>
    <mergeCell ref="B31:H31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D20" sqref="D20:E20"/>
    </sheetView>
  </sheetViews>
  <sheetFormatPr baseColWidth="8" defaultRowHeight="15"/>
  <cols>
    <col width="5.7109375" customWidth="1" style="162" min="1" max="1"/>
    <col width="17.5703125" customWidth="1" style="162" min="2" max="2"/>
    <col width="39.140625" customWidth="1" style="162" min="3" max="3"/>
    <col width="10.7109375" customWidth="1" style="162" min="4" max="4"/>
    <col width="13.85546875" customWidth="1" style="162" min="5" max="5"/>
    <col width="13.28515625" customWidth="1" style="162" min="6" max="6"/>
    <col width="14.140625" customWidth="1" style="162" min="7" max="7"/>
  </cols>
  <sheetData>
    <row r="1">
      <c r="A1" s="225" t="inlineStr">
        <is>
          <t>Приложение №6</t>
        </is>
      </c>
    </row>
    <row r="2" ht="21.75" customHeight="1" s="162">
      <c r="A2" s="225" t="n"/>
      <c r="B2" s="225" t="n"/>
      <c r="C2" s="225" t="n"/>
      <c r="D2" s="225" t="n"/>
      <c r="E2" s="225" t="n"/>
      <c r="F2" s="225" t="n"/>
      <c r="G2" s="225" t="n"/>
    </row>
    <row r="3">
      <c r="A3" s="197" t="inlineStr">
        <is>
          <t>Расчет стоимости оборудования</t>
        </is>
      </c>
    </row>
    <row r="4" ht="25.5" customHeight="1" s="162">
      <c r="A4" s="201" t="inlineStr">
        <is>
          <t>Наименование разрабатываемого показателя УНЦ — Строительно-монтажные работы ВЛ 0,4-750 кВ без опор и провода. Двухцепная, все типы опор за исключением многогранных 6-20 кВ.</t>
        </is>
      </c>
    </row>
    <row r="5">
      <c r="A5" s="169" t="n"/>
      <c r="B5" s="169" t="n"/>
      <c r="C5" s="169" t="n"/>
      <c r="D5" s="169" t="n"/>
      <c r="E5" s="169" t="n"/>
      <c r="F5" s="169" t="n"/>
      <c r="G5" s="169" t="n"/>
    </row>
    <row r="6" ht="30" customHeight="1" s="162">
      <c r="A6" s="230" t="inlineStr">
        <is>
          <t>№ пп.</t>
        </is>
      </c>
      <c r="B6" s="230" t="inlineStr">
        <is>
          <t>Код ресурса</t>
        </is>
      </c>
      <c r="C6" s="230" t="inlineStr">
        <is>
          <t>Наименование</t>
        </is>
      </c>
      <c r="D6" s="230" t="inlineStr">
        <is>
          <t>Ед. изм.</t>
        </is>
      </c>
      <c r="E6" s="204" t="inlineStr">
        <is>
          <t>Кол-во единиц по проектным данным</t>
        </is>
      </c>
      <c r="F6" s="230" t="inlineStr">
        <is>
          <t>Сметная стоимость в ценах на 01.01.2000 (руб.)</t>
        </is>
      </c>
      <c r="G6" s="234" t="n"/>
    </row>
    <row r="7">
      <c r="A7" s="236" t="n"/>
      <c r="B7" s="236" t="n"/>
      <c r="C7" s="236" t="n"/>
      <c r="D7" s="236" t="n"/>
      <c r="E7" s="236" t="n"/>
      <c r="F7" s="204" t="inlineStr">
        <is>
          <t>на ед. изм.</t>
        </is>
      </c>
      <c r="G7" s="204" t="inlineStr">
        <is>
          <t>общая</t>
        </is>
      </c>
    </row>
    <row r="8">
      <c r="A8" s="204" t="n">
        <v>1</v>
      </c>
      <c r="B8" s="204" t="n">
        <v>2</v>
      </c>
      <c r="C8" s="204" t="n">
        <v>3</v>
      </c>
      <c r="D8" s="204" t="n">
        <v>4</v>
      </c>
      <c r="E8" s="204" t="n">
        <v>5</v>
      </c>
      <c r="F8" s="204" t="n">
        <v>6</v>
      </c>
      <c r="G8" s="204" t="n">
        <v>7</v>
      </c>
    </row>
    <row r="9" ht="15" customHeight="1" s="162">
      <c r="A9" s="116" t="n"/>
      <c r="B9" s="211" t="inlineStr">
        <is>
          <t>ИНЖЕНЕРНОЕ ОБОРУДОВАНИЕ</t>
        </is>
      </c>
      <c r="C9" s="233" t="n"/>
      <c r="D9" s="233" t="n"/>
      <c r="E9" s="233" t="n"/>
      <c r="F9" s="233" t="n"/>
      <c r="G9" s="234" t="n"/>
    </row>
    <row r="10" ht="27" customHeight="1" s="162">
      <c r="A10" s="204" t="n"/>
      <c r="B10" s="192" t="n"/>
      <c r="C10" s="211" t="inlineStr">
        <is>
          <t>ИТОГО ИНЖЕНЕРНОЕ ОБОРУДОВАНИЕ</t>
        </is>
      </c>
      <c r="D10" s="192" t="n"/>
      <c r="E10" s="15" t="n"/>
      <c r="F10" s="213" t="n"/>
      <c r="G10" s="213" t="n">
        <v>0</v>
      </c>
    </row>
    <row r="11">
      <c r="A11" s="204" t="n"/>
      <c r="B11" s="211" t="inlineStr">
        <is>
          <t>ТЕХНОЛОГИЧЕСКОЕ ОБОРУДОВАНИЕ</t>
        </is>
      </c>
      <c r="C11" s="233" t="n"/>
      <c r="D11" s="233" t="n"/>
      <c r="E11" s="233" t="n"/>
      <c r="F11" s="233" t="n"/>
      <c r="G11" s="234" t="n"/>
    </row>
    <row r="12" ht="41.25" customHeight="1" s="162">
      <c r="A12" s="204" t="n">
        <v>1</v>
      </c>
      <c r="B12" s="80" t="n"/>
      <c r="C12" s="211" t="n"/>
      <c r="D12" s="204" t="n"/>
      <c r="E12" s="78" t="n"/>
      <c r="F12" s="76" t="n"/>
      <c r="G12" s="76" t="n"/>
    </row>
    <row r="13" ht="25.5" customHeight="1" s="162">
      <c r="A13" s="204" t="n"/>
      <c r="B13" s="211" t="n"/>
      <c r="C13" s="211" t="inlineStr">
        <is>
          <t>ИТОГО ТЕХНОЛОГИЧЕСКОЕ ОБОРУДОВАНИЕ</t>
        </is>
      </c>
      <c r="D13" s="211" t="n"/>
      <c r="E13" s="229" t="n"/>
      <c r="F13" s="213" t="n"/>
      <c r="G13" s="76">
        <f>SUM(G12:G12)</f>
        <v/>
      </c>
    </row>
    <row r="14" ht="19.5" customHeight="1" s="162">
      <c r="A14" s="204" t="n"/>
      <c r="B14" s="211" t="n"/>
      <c r="C14" s="211" t="inlineStr">
        <is>
          <t>Всего по разделу «Оборудование»</t>
        </is>
      </c>
      <c r="D14" s="211" t="n"/>
      <c r="E14" s="229" t="n"/>
      <c r="F14" s="213" t="n"/>
      <c r="G14" s="76">
        <f>G10+G13</f>
        <v/>
      </c>
    </row>
    <row r="15">
      <c r="A15" s="171" t="n"/>
      <c r="B15" s="18" t="n"/>
      <c r="C15" s="171" t="n"/>
      <c r="D15" s="171" t="n"/>
      <c r="E15" s="171" t="n"/>
      <c r="F15" s="171" t="n"/>
      <c r="G15" s="171" t="n"/>
    </row>
    <row r="16">
      <c r="A16" s="169" t="inlineStr">
        <is>
          <t>Составил ______________________    Е. М. Добровольская</t>
        </is>
      </c>
      <c r="B16" s="170" t="n"/>
      <c r="C16" s="170" t="n"/>
      <c r="D16" s="171" t="n"/>
      <c r="E16" s="171" t="n"/>
      <c r="F16" s="171" t="n"/>
      <c r="G16" s="171" t="n"/>
    </row>
    <row r="17">
      <c r="A17" s="172" t="inlineStr">
        <is>
          <t xml:space="preserve">                         (подпись, инициалы, фамилия)</t>
        </is>
      </c>
      <c r="B17" s="170" t="n"/>
      <c r="C17" s="170" t="n"/>
      <c r="D17" s="171" t="n"/>
      <c r="E17" s="171" t="n"/>
      <c r="F17" s="171" t="n"/>
      <c r="G17" s="171" t="n"/>
    </row>
    <row r="18">
      <c r="A18" s="169" t="n"/>
      <c r="B18" s="170" t="n"/>
      <c r="C18" s="170" t="n"/>
      <c r="D18" s="171" t="n"/>
      <c r="E18" s="171" t="n"/>
      <c r="F18" s="171" t="n"/>
      <c r="G18" s="171" t="n"/>
    </row>
    <row r="19">
      <c r="A19" s="169" t="inlineStr">
        <is>
          <t>Проверил ______________________        А.В. Костянецкая</t>
        </is>
      </c>
      <c r="B19" s="170" t="n"/>
      <c r="C19" s="170" t="n"/>
      <c r="D19" s="171" t="n"/>
      <c r="E19" s="171" t="n"/>
      <c r="F19" s="171" t="n"/>
      <c r="G19" s="171" t="n"/>
    </row>
    <row r="20">
      <c r="A20" s="172" t="inlineStr">
        <is>
          <t xml:space="preserve">                        (подпись, инициалы, фамилия)</t>
        </is>
      </c>
      <c r="B20" s="170" t="n"/>
      <c r="C20" s="170" t="n"/>
      <c r="D20" s="171" t="n"/>
      <c r="E20" s="171" t="n"/>
      <c r="F20" s="171" t="n"/>
      <c r="G20" s="17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H32" sqref="H32"/>
    </sheetView>
  </sheetViews>
  <sheetFormatPr baseColWidth="8" defaultRowHeight="15"/>
  <cols>
    <col width="12.7109375" customWidth="1" style="162" min="1" max="1"/>
    <col width="22.42578125" customWidth="1" style="162" min="2" max="2"/>
    <col width="37.140625" customWidth="1" style="162" min="3" max="3"/>
    <col width="49" customWidth="1" style="162" min="4" max="4"/>
    <col width="9.140625" customWidth="1" style="162" min="5" max="5"/>
  </cols>
  <sheetData>
    <row r="1" ht="15.75" customHeight="1" s="162">
      <c r="A1" s="165" t="n"/>
      <c r="B1" s="165" t="n"/>
      <c r="C1" s="165" t="n"/>
      <c r="D1" s="165" t="inlineStr">
        <is>
          <t>Приложение №7</t>
        </is>
      </c>
    </row>
    <row r="2" ht="15.75" customHeight="1" s="162">
      <c r="A2" s="165" t="n"/>
      <c r="B2" s="165" t="n"/>
      <c r="C2" s="165" t="n"/>
      <c r="D2" s="165" t="n"/>
    </row>
    <row r="3" ht="15.75" customHeight="1" s="162">
      <c r="A3" s="165" t="n"/>
      <c r="B3" s="163" t="inlineStr">
        <is>
          <t>Расчет показателя УНЦ</t>
        </is>
      </c>
      <c r="C3" s="165" t="n"/>
      <c r="D3" s="165" t="n"/>
    </row>
    <row r="4" ht="15.75" customHeight="1" s="162">
      <c r="A4" s="165" t="n"/>
      <c r="B4" s="165" t="n"/>
      <c r="C4" s="165" t="n"/>
      <c r="D4" s="165" t="n"/>
    </row>
    <row r="5" ht="47.25" customHeight="1" s="162">
      <c r="A5" s="231" t="inlineStr">
        <is>
          <t xml:space="preserve">Наименование разрабатываемого показателя УНЦ - </t>
        </is>
      </c>
      <c r="D5" s="231">
        <f>'Прил.5 Расчет СМР и ОБ'!D6:J6</f>
        <v/>
      </c>
    </row>
    <row r="6" ht="15.75" customHeight="1" s="162">
      <c r="A6" s="165" t="inlineStr">
        <is>
          <t>Единица измерения  — 1 км</t>
        </is>
      </c>
      <c r="B6" s="165" t="n"/>
      <c r="C6" s="165" t="n"/>
      <c r="D6" s="165" t="n"/>
    </row>
    <row r="7" ht="15.75" customHeight="1" s="162">
      <c r="A7" s="165" t="n"/>
      <c r="B7" s="165" t="n"/>
      <c r="C7" s="165" t="n"/>
      <c r="D7" s="165" t="n"/>
    </row>
    <row r="8">
      <c r="A8" s="186" t="inlineStr">
        <is>
          <t>Код показателя</t>
        </is>
      </c>
      <c r="B8" s="186" t="inlineStr">
        <is>
          <t>Наименование показателя</t>
        </is>
      </c>
      <c r="C8" s="186" t="inlineStr">
        <is>
          <t>Наименование РМ, входящих в состав показателя</t>
        </is>
      </c>
      <c r="D8" s="186" t="inlineStr">
        <is>
          <t>Норматив цены на 01.01.2023, тыс.руб.</t>
        </is>
      </c>
    </row>
    <row r="9">
      <c r="A9" s="236" t="n"/>
      <c r="B9" s="236" t="n"/>
      <c r="C9" s="236" t="n"/>
      <c r="D9" s="236" t="n"/>
    </row>
    <row r="10" ht="15.75" customHeight="1" s="162">
      <c r="A10" s="186" t="n">
        <v>1</v>
      </c>
      <c r="B10" s="186" t="n">
        <v>2</v>
      </c>
      <c r="C10" s="186" t="n">
        <v>3</v>
      </c>
      <c r="D10" s="186" t="n">
        <v>4</v>
      </c>
    </row>
    <row r="11" ht="78.75" customHeight="1" s="162">
      <c r="A11" s="186" t="inlineStr">
        <is>
          <t>Л1-02-2</t>
        </is>
      </c>
      <c r="B11" s="186" t="inlineStr">
        <is>
          <t>УНЦ ВЛ 0,4 - 750 кВ на строительно-монтажные работы без опор и провода</t>
        </is>
      </c>
      <c r="C11" s="167">
        <f>D5</f>
        <v/>
      </c>
      <c r="D11" s="168">
        <f>'Прил.4 РМ'!C41/1000</f>
        <v/>
      </c>
    </row>
    <row r="13">
      <c r="A13" s="169" t="inlineStr">
        <is>
          <t>Составил ______________________     Е. М. Добровольская</t>
        </is>
      </c>
      <c r="B13" s="170" t="n"/>
      <c r="C13" s="170" t="n"/>
      <c r="D13" s="171" t="n"/>
    </row>
    <row r="14">
      <c r="A14" s="172" t="inlineStr">
        <is>
          <t xml:space="preserve">                         (подпись, инициалы, фамилия)</t>
        </is>
      </c>
      <c r="B14" s="170" t="n"/>
      <c r="C14" s="170" t="n"/>
      <c r="D14" s="171" t="n"/>
    </row>
    <row r="15">
      <c r="A15" s="169" t="n"/>
      <c r="B15" s="170" t="n"/>
      <c r="C15" s="170" t="n"/>
      <c r="D15" s="171" t="n"/>
    </row>
    <row r="16">
      <c r="A16" s="169" t="inlineStr">
        <is>
          <t>Проверил ______________________        А.В. Костянецкая</t>
        </is>
      </c>
      <c r="B16" s="170" t="n"/>
      <c r="C16" s="170" t="n"/>
      <c r="D16" s="171" t="n"/>
    </row>
    <row r="17" ht="20.25" customHeight="1" s="162">
      <c r="A17" s="172" t="inlineStr">
        <is>
          <t xml:space="preserve">                        (подпись, инициалы, фамилия)</t>
        </is>
      </c>
      <c r="B17" s="170" t="n"/>
      <c r="C17" s="170" t="n"/>
      <c r="D17" s="17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7" sqref="D27"/>
    </sheetView>
  </sheetViews>
  <sheetFormatPr baseColWidth="8" defaultRowHeight="15"/>
  <cols>
    <col width="9.140625" customWidth="1" style="162" min="1" max="1"/>
    <col width="40.7109375" customWidth="1" style="162" min="2" max="2"/>
    <col width="37" customWidth="1" style="162" min="3" max="3"/>
    <col width="32" customWidth="1" style="162" min="4" max="4"/>
    <col width="9.140625" customWidth="1" style="162" min="5" max="5"/>
  </cols>
  <sheetData>
    <row r="4" ht="15.75" customHeight="1" s="162">
      <c r="B4" s="180" t="inlineStr">
        <is>
          <t>Приложение № 10</t>
        </is>
      </c>
    </row>
    <row r="5" ht="18.75" customHeight="1" s="162">
      <c r="B5" s="42" t="n"/>
    </row>
    <row r="6" ht="15.75" customHeight="1" s="162">
      <c r="B6" s="181" t="inlineStr">
        <is>
          <t>Используемые индексы изменений сметной стоимости и нормы сопутствующих затрат</t>
        </is>
      </c>
    </row>
    <row r="7">
      <c r="B7" s="232" t="n"/>
    </row>
    <row r="8">
      <c r="B8" s="232" t="n"/>
      <c r="C8" s="232" t="n"/>
      <c r="D8" s="232" t="n"/>
      <c r="E8" s="232" t="n"/>
    </row>
    <row r="9" ht="47.25" customHeight="1" s="162">
      <c r="B9" s="186" t="inlineStr">
        <is>
          <t>Наименование индекса / норм сопутствующих затрат</t>
        </is>
      </c>
      <c r="C9" s="186" t="inlineStr">
        <is>
          <t>Дата применения и обоснование индекса / норм сопутствующих затрат</t>
        </is>
      </c>
      <c r="D9" s="186" t="inlineStr">
        <is>
          <t>Размер индекса / норма сопутствующих затрат</t>
        </is>
      </c>
    </row>
    <row r="10" ht="15.75" customHeight="1" s="162">
      <c r="B10" s="186" t="n">
        <v>1</v>
      </c>
      <c r="C10" s="186" t="n">
        <v>2</v>
      </c>
      <c r="D10" s="186" t="n">
        <v>3</v>
      </c>
    </row>
    <row r="11" ht="45" customHeight="1" s="162">
      <c r="B11" s="186" t="inlineStr">
        <is>
          <t xml:space="preserve">Индекс изменения сметной стоимости на 1 квартал 2023 года. ОЗП </t>
        </is>
      </c>
      <c r="C11" s="186" t="inlineStr">
        <is>
          <t>Письмо Минстроя России от 30.03.2023г. №17106-ИФ/09  прил.1</t>
        </is>
      </c>
      <c r="D11" s="186" t="n">
        <v>44.29</v>
      </c>
    </row>
    <row r="12" ht="29.25" customHeight="1" s="162">
      <c r="B12" s="186" t="inlineStr">
        <is>
          <t>Индекс изменения сметной стоимости на 1 квартал 2023 года. ЭМ</t>
        </is>
      </c>
      <c r="C12" s="186" t="inlineStr">
        <is>
          <t>Письмо Минстроя России от 30.03.2023г. №17106-ИФ/09  прил.1</t>
        </is>
      </c>
      <c r="D12" s="186" t="n">
        <v>11.72</v>
      </c>
    </row>
    <row r="13" ht="29.25" customHeight="1" s="162">
      <c r="B13" s="186" t="inlineStr">
        <is>
          <t>Индекс изменения сметной стоимости на 1 квартал 2023 года. МАТ</t>
        </is>
      </c>
      <c r="C13" s="186" t="inlineStr">
        <is>
          <t>Письмо Минстроя России от 30.03.2023г. №17106-ИФ/09  прил.1</t>
        </is>
      </c>
      <c r="D13" s="186" t="n">
        <v>7.74</v>
      </c>
    </row>
    <row r="14" ht="30.75" customHeight="1" s="162">
      <c r="B14" s="186" t="inlineStr">
        <is>
          <t>Индекс изменения сметной стоимости на 1 квартал 2023 года. ОБ</t>
        </is>
      </c>
      <c r="C14" s="23" t="inlineStr">
        <is>
          <t>Письмо Минстроя России от 23.02.2023г. №9791-ИФ/09 прил.6</t>
        </is>
      </c>
      <c r="D14" s="186" t="n">
        <v>6.26</v>
      </c>
    </row>
    <row r="15" ht="89.25" customHeight="1" s="162">
      <c r="B15" s="186" t="inlineStr">
        <is>
          <t>Временные здания и сооружения</t>
        </is>
      </c>
      <c r="C15" s="18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5" t="n">
        <v>0.025</v>
      </c>
    </row>
    <row r="16" ht="78.75" customHeight="1" s="162">
      <c r="B16" s="186" t="inlineStr">
        <is>
          <t>Дополнительные затраты при производстве строительно-монтажных работ в зимнее время</t>
        </is>
      </c>
      <c r="C16" s="18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5" t="n">
        <v>0.019</v>
      </c>
    </row>
    <row r="17" ht="31.5" customHeight="1" s="162">
      <c r="B17" s="186" t="inlineStr">
        <is>
          <t>Строительный контроль</t>
        </is>
      </c>
      <c r="C17" s="186" t="inlineStr">
        <is>
          <t>Постановление Правительства РФ от 21.06.10 г. № 468</t>
        </is>
      </c>
      <c r="D17" s="45" t="n">
        <v>0.0214</v>
      </c>
    </row>
    <row r="18" ht="31.5" customHeight="1" s="162">
      <c r="B18" s="186" t="inlineStr">
        <is>
          <t>Авторский надзор - 0,2%</t>
        </is>
      </c>
      <c r="C18" s="186" t="inlineStr">
        <is>
          <t>Приказ от 4.08.2020 № 421/пр п.173</t>
        </is>
      </c>
      <c r="D18" s="45" t="n">
        <v>0.002</v>
      </c>
    </row>
    <row r="19" ht="24" customHeight="1" s="162">
      <c r="B19" s="186" t="inlineStr">
        <is>
          <t>Непредвиденные расходы</t>
        </is>
      </c>
      <c r="C19" s="186" t="inlineStr">
        <is>
          <t>Приказ от 4.08.2020 № 421/пр п.179</t>
        </is>
      </c>
      <c r="D19" s="45" t="n">
        <v>0.03</v>
      </c>
    </row>
    <row r="20" ht="18.75" customHeight="1" s="162">
      <c r="B20" s="128" t="n"/>
    </row>
    <row r="21" ht="18.75" customHeight="1" s="162">
      <c r="B21" s="128" t="n"/>
    </row>
    <row r="22" ht="18.75" customHeight="1" s="162">
      <c r="B22" s="128" t="n"/>
    </row>
    <row r="23" ht="18.75" customHeight="1" s="162">
      <c r="B23" s="128" t="n"/>
    </row>
    <row r="26">
      <c r="B26" s="169" t="inlineStr">
        <is>
          <t>Составил ______________________        Е.А. Князева</t>
        </is>
      </c>
      <c r="C26" s="170" t="n"/>
    </row>
    <row r="27">
      <c r="B27" s="172" t="inlineStr">
        <is>
          <t xml:space="preserve">                         (подпись, инициалы, фамилия)</t>
        </is>
      </c>
      <c r="C27" s="170" t="n"/>
    </row>
    <row r="28">
      <c r="B28" s="169" t="n"/>
      <c r="C28" s="170" t="n"/>
    </row>
    <row r="29">
      <c r="B29" s="169" t="inlineStr">
        <is>
          <t>Проверил ______________________        А.В. Костянецкая</t>
        </is>
      </c>
      <c r="C29" s="170" t="n"/>
    </row>
    <row r="30">
      <c r="B30" s="172" t="inlineStr">
        <is>
          <t xml:space="preserve">                        (подпись, инициалы, фамилия)</t>
        </is>
      </c>
      <c r="C30" s="17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I11" sqref="I11"/>
    </sheetView>
  </sheetViews>
  <sheetFormatPr baseColWidth="8" defaultRowHeight="15"/>
  <cols>
    <col width="9.140625" customWidth="1" style="162" min="1" max="1"/>
    <col width="44.85546875" customWidth="1" style="162" min="2" max="2"/>
    <col width="13" customWidth="1" style="162" min="3" max="3"/>
    <col width="22.85546875" customWidth="1" style="162" min="4" max="4"/>
    <col width="21.5703125" customWidth="1" style="162" min="5" max="5"/>
    <col width="43.85546875" customWidth="1" style="162" min="6" max="6"/>
    <col width="9.140625" customWidth="1" style="162" min="7" max="7"/>
  </cols>
  <sheetData>
    <row r="2" ht="17.25" customHeight="1" s="162">
      <c r="A2" s="18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2">
      <c r="A4" s="25" t="inlineStr">
        <is>
          <t>Составлен в уровне цен на 01.01.2023 г.</t>
        </is>
      </c>
      <c r="B4" s="165" t="n"/>
      <c r="C4" s="165" t="n"/>
      <c r="D4" s="165" t="n"/>
      <c r="E4" s="165" t="n"/>
      <c r="F4" s="165" t="n"/>
      <c r="G4" s="165" t="n"/>
    </row>
    <row r="5" ht="15.75" customHeight="1" s="162">
      <c r="A5" s="27" t="inlineStr">
        <is>
          <t>№ пп.</t>
        </is>
      </c>
      <c r="B5" s="27" t="inlineStr">
        <is>
          <t>Наименование элемента</t>
        </is>
      </c>
      <c r="C5" s="27" t="inlineStr">
        <is>
          <t>Обозначение</t>
        </is>
      </c>
      <c r="D5" s="27" t="inlineStr">
        <is>
          <t>Формула</t>
        </is>
      </c>
      <c r="E5" s="27" t="inlineStr">
        <is>
          <t>Величина элемента</t>
        </is>
      </c>
      <c r="F5" s="27" t="inlineStr">
        <is>
          <t>Наименования обосновывающих документов</t>
        </is>
      </c>
      <c r="G5" s="165" t="n"/>
    </row>
    <row r="6" ht="15.75" customHeight="1" s="162">
      <c r="A6" s="27" t="n">
        <v>1</v>
      </c>
      <c r="B6" s="27" t="n">
        <v>2</v>
      </c>
      <c r="C6" s="27" t="n">
        <v>3</v>
      </c>
      <c r="D6" s="27" t="n">
        <v>4</v>
      </c>
      <c r="E6" s="27" t="n">
        <v>5</v>
      </c>
      <c r="F6" s="27" t="n">
        <v>6</v>
      </c>
      <c r="G6" s="165" t="n"/>
    </row>
    <row r="7" ht="110.25" customHeight="1" s="162">
      <c r="A7" s="28" t="inlineStr">
        <is>
          <t>1.1</t>
        </is>
      </c>
      <c r="B7" s="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86" t="inlineStr">
        <is>
          <t>С1ср</t>
        </is>
      </c>
      <c r="D7" s="186" t="inlineStr">
        <is>
          <t>-</t>
        </is>
      </c>
      <c r="E7" s="168" t="n">
        <v>47872.94</v>
      </c>
      <c r="F7" s="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65" t="n"/>
    </row>
    <row r="8" ht="31.5" customHeight="1" s="162">
      <c r="A8" s="28" t="inlineStr">
        <is>
          <t>1.2</t>
        </is>
      </c>
      <c r="B8" s="32" t="inlineStr">
        <is>
          <t>Среднегодовое нормативное число часов работы одного рабочего в месяц, часы (ч.)</t>
        </is>
      </c>
      <c r="C8" s="186" t="inlineStr">
        <is>
          <t>tср</t>
        </is>
      </c>
      <c r="D8" s="186" t="inlineStr">
        <is>
          <t>1973ч/12мес.</t>
        </is>
      </c>
      <c r="E8" s="168">
        <f>1973/12</f>
        <v/>
      </c>
      <c r="F8" s="32" t="inlineStr">
        <is>
          <t>Производственный календарь 2023 год
(40-часов.неделя)</t>
        </is>
      </c>
      <c r="G8" s="34" t="n"/>
    </row>
    <row r="9" ht="15.75" customHeight="1" s="162">
      <c r="A9" s="28" t="inlineStr">
        <is>
          <t>1.3</t>
        </is>
      </c>
      <c r="B9" s="32" t="inlineStr">
        <is>
          <t>Коэффициент увеличения</t>
        </is>
      </c>
      <c r="C9" s="186" t="inlineStr">
        <is>
          <t>Кув</t>
        </is>
      </c>
      <c r="D9" s="186" t="inlineStr">
        <is>
          <t>-</t>
        </is>
      </c>
      <c r="E9" s="168" t="n">
        <v>1</v>
      </c>
      <c r="F9" s="32" t="n"/>
      <c r="G9" s="34" t="n"/>
    </row>
    <row r="10" ht="15.75" customHeight="1" s="162">
      <c r="A10" s="28" t="inlineStr">
        <is>
          <t>1.4</t>
        </is>
      </c>
      <c r="B10" s="32" t="inlineStr">
        <is>
          <t>Средний разряд работ</t>
        </is>
      </c>
      <c r="C10" s="186" t="n"/>
      <c r="D10" s="186" t="n"/>
      <c r="E10" s="35" t="n">
        <v>3.4</v>
      </c>
      <c r="F10" s="32" t="inlineStr">
        <is>
          <t>РТМ</t>
        </is>
      </c>
      <c r="G10" s="34" t="n"/>
    </row>
    <row r="11" ht="78.75" customHeight="1" s="162">
      <c r="A11" s="28" t="inlineStr">
        <is>
          <t>1.5</t>
        </is>
      </c>
      <c r="B11" s="32" t="inlineStr">
        <is>
          <t>Тарифный коэффициент среднего разряда работ</t>
        </is>
      </c>
      <c r="C11" s="186" t="inlineStr">
        <is>
          <t>КТ</t>
        </is>
      </c>
      <c r="D11" s="186" t="inlineStr">
        <is>
          <t>-</t>
        </is>
      </c>
      <c r="E11" s="36" t="n">
        <v>1.247</v>
      </c>
      <c r="F11" s="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65" t="n"/>
    </row>
    <row r="12" ht="78.75" customHeight="1" s="162">
      <c r="A12" s="28" t="inlineStr">
        <is>
          <t>1.6</t>
        </is>
      </c>
      <c r="B12" s="98" t="inlineStr">
        <is>
          <t>Коэффициент инфляции, определяемый поквартально</t>
        </is>
      </c>
      <c r="C12" s="186" t="inlineStr">
        <is>
          <t>Кинф</t>
        </is>
      </c>
      <c r="D12" s="186" t="inlineStr">
        <is>
          <t>-</t>
        </is>
      </c>
      <c r="E12" s="38" t="n">
        <v>1.139</v>
      </c>
      <c r="F12" s="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" t="n"/>
    </row>
    <row r="13" ht="63" customHeight="1" s="162">
      <c r="A13" s="28" t="inlineStr">
        <is>
          <t>1.7</t>
        </is>
      </c>
      <c r="B13" s="40" t="inlineStr">
        <is>
          <t>Размер средств на оплату труда рабочих-строителей в текущем уровне цен (ФОТр.тек.), руб/чел.-ч</t>
        </is>
      </c>
      <c r="C13" s="186" t="inlineStr">
        <is>
          <t>ФОТр.тек.</t>
        </is>
      </c>
      <c r="D13" s="186" t="inlineStr">
        <is>
          <t>(С1ср/tср*КТ*Т*Кув)*Кинф</t>
        </is>
      </c>
      <c r="E13" s="41">
        <f>((E7*E9/E8)*E11)*E12</f>
        <v/>
      </c>
      <c r="F13" s="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6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2025-01-24T12:09:33Z</dcterms:modified>
  <cp:lastModifiedBy>REDMIBOOK</cp:lastModifiedBy>
  <cp:lastPrinted>2023-11-29T07:46:22Z</cp:lastPrinted>
</cp:coreProperties>
</file>