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ОБ'!$A$1:$J$63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1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70" fontId="1" fillId="0" borderId="1" applyAlignment="1" pivotButton="0" quotePrefix="0" xfId="0">
      <alignment horizontal="center" vertical="top" wrapText="1"/>
    </xf>
    <xf numFmtId="0" fontId="24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top"/>
    </xf>
    <xf numFmtId="168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2" fontId="2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7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0" min="1" max="2"/>
    <col width="51.7109375" customWidth="1" style="200" min="3" max="3"/>
    <col width="48.7109375" customWidth="1" style="200" min="4" max="4"/>
    <col width="37.42578125" customWidth="1" style="200" min="5" max="5"/>
    <col width="9.140625" customWidth="1" style="200" min="6" max="6"/>
  </cols>
  <sheetData>
    <row r="3">
      <c r="B3" s="221" t="inlineStr">
        <is>
          <t>Приложение № 1</t>
        </is>
      </c>
    </row>
    <row r="4">
      <c r="B4" s="222" t="inlineStr">
        <is>
          <t>Сравнительная таблица отбора объекта-представителя</t>
        </is>
      </c>
    </row>
    <row r="5" ht="84" customHeight="1" s="201">
      <c r="B5" s="2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80" t="n"/>
      <c r="C6" s="180" t="n"/>
      <c r="D6" s="180" t="n"/>
    </row>
    <row r="7" ht="64.5" customHeight="1" s="201">
      <c r="B7" s="22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8" ht="31.5" customHeight="1" s="201">
      <c r="B8" s="223" t="inlineStr">
        <is>
          <t>Сопоставимый уровень цен: 3 кв. 2016 г</t>
        </is>
      </c>
    </row>
    <row r="9" ht="15.75" customHeight="1" s="201">
      <c r="B9" s="223" t="inlineStr">
        <is>
          <t>Единица измерения  — 1 км</t>
        </is>
      </c>
    </row>
    <row r="10">
      <c r="B10" s="223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63" t="n"/>
    </row>
    <row r="12" ht="96.75" customHeight="1" s="201">
      <c r="B12" s="230" t="n">
        <v>1</v>
      </c>
      <c r="C12" s="127" t="inlineStr">
        <is>
          <t>Наименование объекта-представителя</t>
        </is>
      </c>
      <c r="D12" s="193" t="inlineStr">
        <is>
          <t>ВЛ 110 кВ ПС О-10 "Зеленоградск" - ПС О-62 "Пионерская" (Л-159)</t>
        </is>
      </c>
    </row>
    <row r="13">
      <c r="B13" s="230" t="n">
        <v>2</v>
      </c>
      <c r="C13" s="127" t="inlineStr">
        <is>
          <t>Наименование субъекта Российской Федерации</t>
        </is>
      </c>
      <c r="D13" s="193" t="inlineStr">
        <is>
          <t>Калининградскач область</t>
        </is>
      </c>
    </row>
    <row r="14">
      <c r="B14" s="230" t="n">
        <v>3</v>
      </c>
      <c r="C14" s="127" t="inlineStr">
        <is>
          <t>Климатический район и подрайон</t>
        </is>
      </c>
      <c r="D14" s="81" t="inlineStr">
        <is>
          <t>IIВ</t>
        </is>
      </c>
    </row>
    <row r="15">
      <c r="B15" s="230" t="n">
        <v>4</v>
      </c>
      <c r="C15" s="127" t="inlineStr">
        <is>
          <t>Мощность объекта</t>
        </is>
      </c>
      <c r="D15" s="193" t="n">
        <v>22.58</v>
      </c>
    </row>
    <row r="16" ht="116.25" customHeight="1" s="20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3" t="inlineStr">
        <is>
          <t xml:space="preserve">Свая-оболочка для многогранных опор - 37,3 тонн/км
Грибовидные железобетонные фундаменты для решётчатых опор - 10,3 м3/км
</t>
        </is>
      </c>
    </row>
    <row r="17" ht="79.5" customHeight="1" s="20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SUM(D18:D21)</f>
        <v/>
      </c>
      <c r="E17" s="179" t="n"/>
    </row>
    <row r="18">
      <c r="B18" s="162" t="inlineStr">
        <is>
          <t>6.1</t>
        </is>
      </c>
      <c r="C18" s="127" t="inlineStr">
        <is>
          <t>строительно-монтажные работы</t>
        </is>
      </c>
      <c r="D18" s="172">
        <f>'Прил.2 Расч стоим'!F14</f>
        <v/>
      </c>
    </row>
    <row r="19" ht="15.75" customHeight="1" s="201">
      <c r="B19" s="162" t="inlineStr">
        <is>
          <t>6.2</t>
        </is>
      </c>
      <c r="C19" s="127" t="inlineStr">
        <is>
          <t>оборудование и инвентарь</t>
        </is>
      </c>
      <c r="D19" s="172" t="n"/>
    </row>
    <row r="20" ht="16.5" customHeight="1" s="201">
      <c r="B20" s="162" t="inlineStr">
        <is>
          <t>6.3</t>
        </is>
      </c>
      <c r="C20" s="127" t="inlineStr">
        <is>
          <t>пусконаладочные работы</t>
        </is>
      </c>
      <c r="D20" s="172" t="n"/>
    </row>
    <row r="21" ht="35.25" customHeight="1" s="201">
      <c r="B21" s="162" t="inlineStr">
        <is>
          <t>6.4</t>
        </is>
      </c>
      <c r="C21" s="161" t="inlineStr">
        <is>
          <t>прочие и лимитированные затраты</t>
        </is>
      </c>
      <c r="D21" s="172" t="n"/>
    </row>
    <row r="22">
      <c r="B22" s="230" t="n">
        <v>7</v>
      </c>
      <c r="C22" s="161" t="inlineStr">
        <is>
          <t>Сопоставимый уровень цен</t>
        </is>
      </c>
      <c r="D22" s="191" t="inlineStr">
        <is>
          <t>3 кв. 2016 г</t>
        </is>
      </c>
      <c r="E22" s="159" t="n"/>
    </row>
    <row r="23" ht="123" customHeight="1" s="201">
      <c r="B23" s="230" t="n">
        <v>8</v>
      </c>
      <c r="C23" s="16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79" t="n"/>
    </row>
    <row r="24" ht="60.75" customHeight="1" s="20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59" t="n"/>
    </row>
    <row r="25" ht="48" customHeight="1" s="201">
      <c r="B25" s="230" t="n">
        <v>10</v>
      </c>
      <c r="C25" s="127" t="inlineStr">
        <is>
          <t>Примечание</t>
        </is>
      </c>
      <c r="D25" s="230" t="n"/>
    </row>
    <row r="26">
      <c r="B26" s="158" t="n"/>
      <c r="C26" s="157" t="n"/>
      <c r="D26" s="157" t="n"/>
    </row>
    <row r="27" ht="37.5" customHeight="1" s="201">
      <c r="B27" s="156" t="n"/>
    </row>
    <row r="28">
      <c r="B28" s="200" t="inlineStr">
        <is>
          <t>Составил ______________________    Е. М. Добровольская</t>
        </is>
      </c>
    </row>
    <row r="29">
      <c r="B29" s="156" t="inlineStr">
        <is>
          <t xml:space="preserve">                         (подпись, инициалы, фамилия)</t>
        </is>
      </c>
    </row>
    <row r="31">
      <c r="B31" s="200" t="inlineStr">
        <is>
          <t>Проверил ______________________        А.В. Костянецкая</t>
        </is>
      </c>
    </row>
    <row r="32">
      <c r="B32" s="15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20" sqref="E20:F20"/>
    </sheetView>
  </sheetViews>
  <sheetFormatPr baseColWidth="8" defaultColWidth="9.140625" defaultRowHeight="15.75"/>
  <cols>
    <col width="5.5703125" customWidth="1" style="200" min="1" max="1"/>
    <col width="9.140625" customWidth="1" style="200" min="2" max="2"/>
    <col width="35.28515625" customWidth="1" style="200" min="3" max="3"/>
    <col width="13.85546875" customWidth="1" style="200" min="4" max="4"/>
    <col width="24.85546875" customWidth="1" style="200" min="5" max="5"/>
    <col width="15.5703125" customWidth="1" style="200" min="6" max="6"/>
    <col width="14.85546875" customWidth="1" style="200" min="7" max="7"/>
    <col width="16.7109375" customWidth="1" style="200" min="8" max="8"/>
    <col width="13" customWidth="1" style="200" min="9" max="10"/>
    <col width="18" customWidth="1" style="200" min="11" max="11"/>
    <col width="9.140625" customWidth="1" style="200" min="12" max="12"/>
  </cols>
  <sheetData>
    <row r="3">
      <c r="B3" s="221" t="inlineStr">
        <is>
          <t>Приложение № 2</t>
        </is>
      </c>
      <c r="K3" s="156" t="n"/>
    </row>
    <row r="4">
      <c r="B4" s="222" t="inlineStr">
        <is>
          <t>Расчет стоимости основных видов работ для выбора объекта-представителя</t>
        </is>
      </c>
    </row>
    <row r="5">
      <c r="B5" s="164" t="n"/>
      <c r="C5" s="164" t="n"/>
      <c r="D5" s="164" t="n"/>
      <c r="E5" s="164" t="n"/>
      <c r="F5" s="164" t="n"/>
      <c r="G5" s="164" t="n"/>
      <c r="H5" s="164" t="n"/>
      <c r="I5" s="164" t="n"/>
      <c r="J5" s="164" t="n"/>
      <c r="K5" s="164" t="n"/>
    </row>
    <row r="6" ht="29.25" customHeight="1" s="201">
      <c r="B6" s="232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  <c r="K6" s="156" t="n"/>
    </row>
    <row r="7" ht="15.75" customHeight="1" s="201">
      <c r="B7" s="233" t="inlineStr">
        <is>
          <t>Единица измерения  — 1 км</t>
        </is>
      </c>
      <c r="K7" s="156" t="n"/>
    </row>
    <row r="8" ht="18.75" customHeight="1" s="201">
      <c r="B8" s="133" t="n"/>
    </row>
    <row r="9" ht="15.75" customHeight="1" s="20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19" t="n"/>
      <c r="F9" s="319" t="n"/>
      <c r="G9" s="319" t="n"/>
      <c r="H9" s="319" t="n"/>
      <c r="I9" s="319" t="n"/>
      <c r="J9" s="320" t="n"/>
    </row>
    <row r="10" ht="15.75" customHeight="1" s="201">
      <c r="B10" s="321" t="n"/>
      <c r="C10" s="321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3 кв. 2016 г., тыс. руб.</t>
        </is>
      </c>
      <c r="G10" s="319" t="n"/>
      <c r="H10" s="319" t="n"/>
      <c r="I10" s="319" t="n"/>
      <c r="J10" s="320" t="n"/>
    </row>
    <row r="11" ht="31.5" customHeight="1" s="201">
      <c r="B11" s="322" t="n"/>
      <c r="C11" s="322" t="n"/>
      <c r="D11" s="322" t="n"/>
      <c r="E11" s="322" t="n"/>
      <c r="F11" s="231" t="inlineStr">
        <is>
          <t>Строительные работы</t>
        </is>
      </c>
      <c r="G11" s="231" t="inlineStr">
        <is>
          <t>Монтажные работы</t>
        </is>
      </c>
      <c r="H11" s="231" t="inlineStr">
        <is>
          <t>Оборудование</t>
        </is>
      </c>
      <c r="I11" s="231" t="inlineStr">
        <is>
          <t>Прочее</t>
        </is>
      </c>
      <c r="J11" s="231" t="inlineStr">
        <is>
          <t>Всего</t>
        </is>
      </c>
    </row>
    <row r="12" ht="15" customHeight="1" s="201">
      <c r="B12" s="211" t="n"/>
      <c r="C12" s="211" t="inlineStr">
        <is>
          <t>ВЛ 110 кВ</t>
        </is>
      </c>
      <c r="D12" s="211" t="n"/>
      <c r="E12" s="211" t="n"/>
      <c r="F12" s="323" t="n">
        <v>204647.05061456</v>
      </c>
      <c r="G12" s="320" t="n"/>
      <c r="H12" s="211" t="n"/>
      <c r="I12" s="211" t="n"/>
      <c r="J12" s="211">
        <f>SUM(F12:I12)</f>
        <v/>
      </c>
    </row>
    <row r="13" ht="15.75" customHeight="1" s="201">
      <c r="B13" s="228" t="inlineStr">
        <is>
          <t>Всего по объекту:</t>
        </is>
      </c>
      <c r="C13" s="324" t="n"/>
      <c r="D13" s="324" t="n"/>
      <c r="E13" s="325" t="n"/>
      <c r="F13" s="212" t="n"/>
      <c r="G13" s="212" t="n"/>
      <c r="H13" s="212" t="n"/>
      <c r="I13" s="212" t="n"/>
      <c r="J13" s="211" t="n"/>
    </row>
    <row r="14" ht="15.75" customHeight="1" s="201">
      <c r="B14" s="229" t="inlineStr">
        <is>
          <t>Всего по объекту в сопоставимом уровне цен 3 кв. 2016 г:</t>
        </is>
      </c>
      <c r="C14" s="319" t="n"/>
      <c r="D14" s="319" t="n"/>
      <c r="E14" s="320" t="n"/>
      <c r="F14" s="326">
        <f>F12</f>
        <v/>
      </c>
      <c r="G14" s="320" t="n"/>
      <c r="H14" s="213" t="n"/>
      <c r="I14" s="213" t="n"/>
      <c r="J14" s="213">
        <f>SUM(F14:I14)</f>
        <v/>
      </c>
    </row>
    <row r="15" ht="15" customHeight="1" s="201"/>
    <row r="16" ht="15" customHeight="1" s="201"/>
    <row r="17" ht="15" customHeight="1" s="201"/>
    <row r="18" ht="15" customHeight="1" s="201">
      <c r="C18" s="207" t="inlineStr">
        <is>
          <t>Составил ______________________     Е. М. Добровольская</t>
        </is>
      </c>
      <c r="D18" s="208" t="n"/>
      <c r="E18" s="208" t="n"/>
    </row>
    <row r="19" ht="15" customHeight="1" s="201">
      <c r="C19" s="210" t="inlineStr">
        <is>
          <t xml:space="preserve">                         (подпись, инициалы, фамилия)</t>
        </is>
      </c>
      <c r="D19" s="208" t="n"/>
      <c r="E19" s="208" t="n"/>
    </row>
    <row r="20" ht="15" customHeight="1" s="201">
      <c r="C20" s="207" t="n"/>
      <c r="D20" s="208" t="n"/>
      <c r="E20" s="208" t="n"/>
    </row>
    <row r="21" ht="15" customHeight="1" s="201">
      <c r="C21" s="207" t="inlineStr">
        <is>
          <t>Проверил ______________________        А.В. Костянецкая</t>
        </is>
      </c>
      <c r="D21" s="208" t="n"/>
      <c r="E21" s="208" t="n"/>
    </row>
    <row r="22" ht="15" customHeight="1" s="201">
      <c r="C22" s="210" t="inlineStr">
        <is>
          <t xml:space="preserve">                        (подпись, инициалы, фамилия)</t>
        </is>
      </c>
      <c r="D22" s="208" t="n"/>
      <c r="E22" s="208" t="n"/>
    </row>
    <row r="23" ht="15" customHeight="1" s="201"/>
    <row r="24" ht="15" customHeight="1" s="201"/>
    <row r="25" ht="15" customHeight="1" s="201"/>
    <row r="26" ht="15" customHeight="1" s="201"/>
    <row r="27" ht="15" customHeight="1" s="201"/>
    <row r="28" ht="15" customHeight="1" s="201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2"/>
  <sheetViews>
    <sheetView view="pageBreakPreview" zoomScale="70" zoomScaleSheetLayoutView="70" workbookViewId="0">
      <selection activeCell="E38" sqref="E38"/>
    </sheetView>
  </sheetViews>
  <sheetFormatPr baseColWidth="8" defaultColWidth="9.140625" defaultRowHeight="15.75"/>
  <cols>
    <col width="9.140625" customWidth="1" style="200" min="1" max="1"/>
    <col width="12.5703125" customWidth="1" style="200" min="2" max="2"/>
    <col width="22.42578125" customWidth="1" style="200" min="3" max="3"/>
    <col width="49.7109375" customWidth="1" style="200" min="4" max="4"/>
    <col width="10.140625" customWidth="1" style="200" min="5" max="5"/>
    <col width="20.7109375" customWidth="1" style="200" min="6" max="6"/>
    <col width="20" customWidth="1" style="200" min="7" max="7"/>
    <col width="17.85546875" customWidth="1" style="200" min="8" max="8"/>
    <col hidden="1" width="9.140625" customWidth="1" style="200" min="9" max="10"/>
    <col hidden="1" width="15" customWidth="1" style="200" min="11" max="11"/>
    <col hidden="1" width="9.140625" customWidth="1" style="200" min="12" max="12"/>
    <col width="9.140625" customWidth="1" style="200" min="13" max="13"/>
  </cols>
  <sheetData>
    <row r="2" s="201">
      <c r="A2" s="200" t="n"/>
      <c r="B2" s="200" t="n"/>
      <c r="C2" s="200" t="n"/>
      <c r="D2" s="200" t="n"/>
      <c r="E2" s="200" t="n"/>
      <c r="F2" s="200" t="n"/>
      <c r="G2" s="200" t="n"/>
      <c r="H2" s="200" t="n"/>
      <c r="I2" s="200" t="n"/>
      <c r="J2" s="200" t="n"/>
      <c r="K2" s="200" t="n"/>
      <c r="L2" s="200" t="n"/>
      <c r="M2" s="200" t="n"/>
    </row>
    <row r="3">
      <c r="A3" s="221" t="inlineStr">
        <is>
          <t xml:space="preserve">Приложение № 3 </t>
        </is>
      </c>
    </row>
    <row r="4">
      <c r="A4" s="222" t="inlineStr">
        <is>
          <t>Объектная ресурсная ведомость</t>
        </is>
      </c>
    </row>
    <row r="5" ht="18.75" customHeight="1" s="201">
      <c r="A5" s="188" t="n"/>
      <c r="B5" s="188" t="n"/>
      <c r="C5" s="24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23" t="n"/>
    </row>
    <row r="7" ht="30" customHeight="1" s="201">
      <c r="A7" s="232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8">
      <c r="A8" s="233" t="n"/>
      <c r="B8" s="233" t="n"/>
      <c r="C8" s="233" t="n"/>
      <c r="D8" s="233" t="n"/>
      <c r="E8" s="233" t="n"/>
      <c r="F8" s="233" t="n"/>
      <c r="G8" s="233" t="n"/>
      <c r="H8" s="233" t="n"/>
    </row>
    <row r="9" ht="38.25" customHeight="1" s="201">
      <c r="A9" s="230" t="inlineStr">
        <is>
          <t>п/п</t>
        </is>
      </c>
      <c r="B9" s="230" t="inlineStr">
        <is>
          <t>№ЛСР</t>
        </is>
      </c>
      <c r="C9" s="230" t="inlineStr">
        <is>
          <t>Код ресурса</t>
        </is>
      </c>
      <c r="D9" s="230" t="inlineStr">
        <is>
          <t>Наименование ресурса</t>
        </is>
      </c>
      <c r="E9" s="230" t="inlineStr">
        <is>
          <t>Ед. изм.</t>
        </is>
      </c>
      <c r="F9" s="230" t="inlineStr">
        <is>
          <t>Кол-во единиц по данным объекта-представителя</t>
        </is>
      </c>
      <c r="G9" s="230" t="inlineStr">
        <is>
          <t>Сметная стоимость в ценах на 01.01.2000 (руб.)</t>
        </is>
      </c>
      <c r="H9" s="320" t="n"/>
    </row>
    <row r="10" ht="40.5" customHeight="1" s="201">
      <c r="A10" s="322" t="n"/>
      <c r="B10" s="322" t="n"/>
      <c r="C10" s="322" t="n"/>
      <c r="D10" s="322" t="n"/>
      <c r="E10" s="322" t="n"/>
      <c r="F10" s="322" t="n"/>
      <c r="G10" s="230" t="inlineStr">
        <is>
          <t>на ед.изм.</t>
        </is>
      </c>
      <c r="H10" s="230" t="inlineStr">
        <is>
          <t>общая</t>
        </is>
      </c>
    </row>
    <row r="11">
      <c r="A11" s="231" t="n">
        <v>1</v>
      </c>
      <c r="B11" s="231" t="n"/>
      <c r="C11" s="231" t="n">
        <v>2</v>
      </c>
      <c r="D11" s="231" t="inlineStr">
        <is>
          <t>З</t>
        </is>
      </c>
      <c r="E11" s="231" t="n">
        <v>4</v>
      </c>
      <c r="F11" s="231" t="n">
        <v>5</v>
      </c>
      <c r="G11" s="231" t="n">
        <v>6</v>
      </c>
      <c r="H11" s="231" t="n">
        <v>7</v>
      </c>
    </row>
    <row r="12" customFormat="1" s="202">
      <c r="A12" s="239" t="inlineStr">
        <is>
          <t>Затраты труда рабочих</t>
        </is>
      </c>
      <c r="B12" s="319" t="n"/>
      <c r="C12" s="319" t="n"/>
      <c r="D12" s="319" t="n"/>
      <c r="E12" s="320" t="n"/>
      <c r="F12" s="186">
        <f>SUM(F13:F13)</f>
        <v/>
      </c>
      <c r="G12" s="10" t="n"/>
      <c r="H12" s="186">
        <f>SUM(H13:H13)</f>
        <v/>
      </c>
    </row>
    <row r="13">
      <c r="A13" s="182" t="n">
        <v>1</v>
      </c>
      <c r="B13" s="170" t="n"/>
      <c r="C13" s="182" t="inlineStr">
        <is>
          <t>1-4-1</t>
        </is>
      </c>
      <c r="D13" s="183" t="inlineStr">
        <is>
          <t>Затраты труда рабочих (ср 4,1)</t>
        </is>
      </c>
      <c r="E13" s="273" t="inlineStr">
        <is>
          <t>чел.час</t>
        </is>
      </c>
      <c r="F13" s="195" t="n">
        <v>18699.406178279</v>
      </c>
      <c r="G13" s="185" t="n">
        <v>9.789999999999999</v>
      </c>
      <c r="H13" s="185">
        <f>ROUND(F13*G13,2)</f>
        <v/>
      </c>
      <c r="I13" s="200" t="n">
        <v>4.1</v>
      </c>
      <c r="J13" s="200">
        <f>I13*F13</f>
        <v/>
      </c>
    </row>
    <row r="14">
      <c r="A14" s="238" t="inlineStr">
        <is>
          <t>Затраты труда машинистов</t>
        </is>
      </c>
      <c r="B14" s="319" t="n"/>
      <c r="C14" s="319" t="n"/>
      <c r="D14" s="319" t="n"/>
      <c r="E14" s="320" t="n"/>
      <c r="F14" s="239" t="n"/>
      <c r="G14" s="168" t="n"/>
      <c r="H14" s="197">
        <f>H15</f>
        <v/>
      </c>
    </row>
    <row r="15">
      <c r="A15" s="273" t="n">
        <v>2</v>
      </c>
      <c r="B15" s="240" t="n"/>
      <c r="C15" s="182" t="n">
        <v>2</v>
      </c>
      <c r="D15" s="183" t="inlineStr">
        <is>
          <t>Затраты труда машинистов</t>
        </is>
      </c>
      <c r="E15" s="273" t="inlineStr">
        <is>
          <t>чел.-ч</t>
        </is>
      </c>
      <c r="F15" s="192" t="n">
        <v>7696.183</v>
      </c>
      <c r="G15" s="185" t="n">
        <v>15.3</v>
      </c>
      <c r="H15" s="196">
        <f>F15*G15</f>
        <v/>
      </c>
      <c r="J15" s="200">
        <f>SUM(J13:J13)</f>
        <v/>
      </c>
    </row>
    <row r="16" customFormat="1" s="202">
      <c r="A16" s="239" t="inlineStr">
        <is>
          <t>Машины и механизмы</t>
        </is>
      </c>
      <c r="B16" s="319" t="n"/>
      <c r="C16" s="319" t="n"/>
      <c r="D16" s="319" t="n"/>
      <c r="E16" s="320" t="n"/>
      <c r="F16" s="239" t="n"/>
      <c r="G16" s="168" t="n"/>
      <c r="H16" s="186">
        <f>SUM(H17:H29)</f>
        <v/>
      </c>
    </row>
    <row r="17" ht="25.5" customHeight="1" s="201">
      <c r="A17" s="273" t="n">
        <v>3</v>
      </c>
      <c r="B17" s="240" t="n"/>
      <c r="C17" s="182" t="inlineStr">
        <is>
          <t>91.15.02-029</t>
        </is>
      </c>
      <c r="D17" s="183" t="inlineStr">
        <is>
          <t>Тракторы на гусеничном ходу с лебедкой 132 кВт (180 л.с.)</t>
        </is>
      </c>
      <c r="E17" s="273" t="inlineStr">
        <is>
          <t>маш.час</t>
        </is>
      </c>
      <c r="F17" s="195" t="n">
        <v>1770.2706897402</v>
      </c>
      <c r="G17" s="196" t="n">
        <v>147.43</v>
      </c>
      <c r="H17" s="185">
        <f>ROUND(F17*G17,2)</f>
        <v/>
      </c>
      <c r="I17" s="173">
        <f>H17/$H$16</f>
        <v/>
      </c>
      <c r="J17" s="189">
        <f>J15/F12</f>
        <v/>
      </c>
      <c r="L17" s="173">
        <f>H17/$H$16</f>
        <v/>
      </c>
    </row>
    <row r="18" ht="38.25" customHeight="1" s="201">
      <c r="A18" s="273" t="n">
        <v>4</v>
      </c>
      <c r="B18" s="240" t="n"/>
      <c r="C18" s="182" t="inlineStr">
        <is>
          <t>91.04.01-011</t>
        </is>
      </c>
      <c r="D18" s="183" t="inlineStr">
        <is>
          <t>Буровые установки (включая универсальные комплексы) с крутящим моментом 250-400 кНм, мощность 350-500 кВт</t>
        </is>
      </c>
      <c r="E18" s="273" t="inlineStr">
        <is>
          <t>маш.час</t>
        </is>
      </c>
      <c r="F18" s="195" t="n">
        <v>38.689525340926</v>
      </c>
      <c r="G18" s="196" t="n">
        <v>6656.69</v>
      </c>
      <c r="H18" s="185">
        <f>ROUND(F18*G18,2)</f>
        <v/>
      </c>
      <c r="I18" s="173">
        <f>H18/$H$16</f>
        <v/>
      </c>
      <c r="J18" s="189" t="n"/>
      <c r="L18" s="173" t="n"/>
    </row>
    <row r="19" ht="25.5" customHeight="1" s="201">
      <c r="A19" s="273" t="n">
        <v>5</v>
      </c>
      <c r="B19" s="240" t="n"/>
      <c r="C19" s="182" t="inlineStr">
        <is>
          <t>91.13.03-111</t>
        </is>
      </c>
      <c r="D19" s="183" t="inlineStr">
        <is>
          <t>Спецавтомашины, грузоподъемность до 8 т, вездеходы</t>
        </is>
      </c>
      <c r="E19" s="273" t="inlineStr">
        <is>
          <t>маш.час</t>
        </is>
      </c>
      <c r="F19" s="195" t="n">
        <v>963.3601461215</v>
      </c>
      <c r="G19" s="196" t="n">
        <v>189.95</v>
      </c>
      <c r="H19" s="185">
        <f>ROUND(F19*G19,2)</f>
        <v/>
      </c>
      <c r="I19" s="173">
        <f>H19/$H$16</f>
        <v/>
      </c>
      <c r="J19" s="189" t="n"/>
      <c r="L19" s="173" t="n"/>
    </row>
    <row r="20">
      <c r="A20" s="273" t="n">
        <v>6</v>
      </c>
      <c r="B20" s="240" t="n"/>
      <c r="C20" s="182" t="inlineStr">
        <is>
          <t>91.06.06-014</t>
        </is>
      </c>
      <c r="D20" s="183" t="inlineStr">
        <is>
          <t>Автогидроподъемники высотой подъема: 28 м</t>
        </is>
      </c>
      <c r="E20" s="273" t="inlineStr">
        <is>
          <t>маш.час</t>
        </is>
      </c>
      <c r="F20" s="195" t="n">
        <v>728.92924895799</v>
      </c>
      <c r="G20" s="196" t="n">
        <v>243.49</v>
      </c>
      <c r="H20" s="185">
        <f>ROUND(F20*G20,2)</f>
        <v/>
      </c>
      <c r="I20" s="173">
        <f>H20/$H$16</f>
        <v/>
      </c>
      <c r="J20" s="189" t="n"/>
      <c r="L20" s="173" t="n"/>
    </row>
    <row r="21" ht="25.5" customHeight="1" s="201">
      <c r="A21" s="273" t="n">
        <v>7</v>
      </c>
      <c r="B21" s="240" t="n"/>
      <c r="C21" s="182" t="inlineStr">
        <is>
          <t>91.04.01-077</t>
        </is>
      </c>
      <c r="D21" s="183" t="inlineStr">
        <is>
          <t>Установки и агрегаты буровые на базе автомобилей глубина бурения: до 200 м, грузоподъемность до 4т</t>
        </is>
      </c>
      <c r="E21" s="273" t="inlineStr">
        <is>
          <t>маш.час</t>
        </is>
      </c>
      <c r="F21" s="195" t="n">
        <v>791.06522189384</v>
      </c>
      <c r="G21" s="196" t="n">
        <v>219.82</v>
      </c>
      <c r="H21" s="185">
        <f>ROUND(F21*G21,2)</f>
        <v/>
      </c>
      <c r="I21" s="173">
        <f>H21/$H$16</f>
        <v/>
      </c>
      <c r="J21" s="189" t="n"/>
      <c r="L21" s="173" t="n"/>
    </row>
    <row r="22" ht="38.25" customHeight="1" s="201">
      <c r="A22" s="273" t="n">
        <v>8</v>
      </c>
      <c r="B22" s="240" t="n"/>
      <c r="C22" s="182" t="inlineStr">
        <is>
          <t>ФССЦпг-04-01-01-004</t>
        </is>
      </c>
      <c r="D22" s="183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E22" s="273" t="inlineStr">
        <is>
          <t>1 т груза</t>
        </is>
      </c>
      <c r="F22" s="195" t="n">
        <v>3051.3238111407</v>
      </c>
      <c r="G22" s="196" t="n">
        <v>29.93</v>
      </c>
      <c r="H22" s="185">
        <f>ROUND(F22*G22,2)</f>
        <v/>
      </c>
      <c r="I22" s="173">
        <f>H22/$H$16</f>
        <v/>
      </c>
      <c r="J22" s="189" t="n"/>
      <c r="L22" s="173" t="n"/>
    </row>
    <row r="23" ht="25.5" customHeight="1" s="201">
      <c r="A23" s="273" t="n">
        <v>9</v>
      </c>
      <c r="B23" s="240" t="n"/>
      <c r="C23" s="182" t="inlineStr">
        <is>
          <t>91.05.14-024</t>
        </is>
      </c>
      <c r="D23" s="183" t="inlineStr">
        <is>
          <t>Краны на тракторе, мощность 121 кВт (165 л.с.), грузоподъемность 10 т (прицепные)</t>
        </is>
      </c>
      <c r="E23" s="273" t="inlineStr">
        <is>
          <t>маш.час</t>
        </is>
      </c>
      <c r="F23" s="195" t="n">
        <v>1178.5182696662</v>
      </c>
      <c r="G23" s="196" t="n">
        <v>69.84</v>
      </c>
      <c r="H23" s="185">
        <f>ROUND(F23*G23,2)</f>
        <v/>
      </c>
      <c r="I23" s="173">
        <f>H23/$H$16</f>
        <v/>
      </c>
      <c r="J23" s="189" t="n"/>
      <c r="L23" s="173" t="n"/>
    </row>
    <row r="24" ht="25.5" customHeight="1" s="201">
      <c r="A24" s="273" t="n">
        <v>10</v>
      </c>
      <c r="B24" s="240" t="n"/>
      <c r="C24" s="182" t="inlineStr">
        <is>
          <t>91.05.05-016</t>
        </is>
      </c>
      <c r="D24" s="183" t="inlineStr">
        <is>
          <t>Краны на автомобильном ходу, грузоподъемность 25 т</t>
        </is>
      </c>
      <c r="E24" s="273" t="inlineStr">
        <is>
          <t>маш.час</t>
        </is>
      </c>
      <c r="F24" s="195" t="n">
        <v>150.79338889652</v>
      </c>
      <c r="G24" s="196" t="n">
        <v>476.43</v>
      </c>
      <c r="H24" s="185">
        <f>ROUND(F24*G24,2)</f>
        <v/>
      </c>
      <c r="I24" s="173">
        <f>H24/$H$16</f>
        <v/>
      </c>
      <c r="J24" s="189" t="n"/>
      <c r="L24" s="173" t="n"/>
    </row>
    <row r="25" ht="25.5" customHeight="1" s="201">
      <c r="A25" s="273" t="n">
        <v>11</v>
      </c>
      <c r="B25" s="240" t="n"/>
      <c r="C25" s="182" t="inlineStr">
        <is>
          <t>91.11.02-021</t>
        </is>
      </c>
      <c r="D25" s="183" t="inlineStr">
        <is>
          <t>Комплекс для монтажа проводов методом "под тяжением"</t>
        </is>
      </c>
      <c r="E25" s="273" t="inlineStr">
        <is>
          <t>маш.час</t>
        </is>
      </c>
      <c r="F25" s="195" t="n">
        <v>99.263722374983</v>
      </c>
      <c r="G25" s="196" t="n">
        <v>637.76</v>
      </c>
      <c r="H25" s="185">
        <f>ROUND(F25*G25,2)</f>
        <v/>
      </c>
      <c r="I25" s="173">
        <f>H25/$H$16</f>
        <v/>
      </c>
      <c r="J25" s="189" t="n"/>
      <c r="L25" s="173" t="n"/>
    </row>
    <row r="26" ht="38.25" customHeight="1" s="201">
      <c r="A26" s="273" t="n">
        <v>12</v>
      </c>
      <c r="B26" s="240" t="n"/>
      <c r="C26" s="182" t="inlineStr">
        <is>
          <t>ФССЦпг-03-21-01-081</t>
        </is>
      </c>
      <c r="D26" s="183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E26" s="273" t="inlineStr">
        <is>
          <t>1 т груза</t>
        </is>
      </c>
      <c r="F26" s="195" t="n">
        <v>1572.4018240255</v>
      </c>
      <c r="G26" s="196" t="n">
        <v>39.36</v>
      </c>
      <c r="H26" s="185">
        <f>ROUND(F26*G26,2)</f>
        <v/>
      </c>
      <c r="I26" s="173">
        <f>H26/$H$16</f>
        <v/>
      </c>
      <c r="J26" s="189" t="n"/>
      <c r="L26" s="173" t="n"/>
    </row>
    <row r="27" ht="38.25" customHeight="1" s="201">
      <c r="A27" s="273" t="n">
        <v>13</v>
      </c>
      <c r="B27" s="240" t="n"/>
      <c r="C27" s="182" t="inlineStr">
        <is>
          <t>91.18.01-007</t>
        </is>
      </c>
      <c r="D27" s="18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7" s="273" t="inlineStr">
        <is>
          <t>маш.час</t>
        </is>
      </c>
      <c r="F27" s="195" t="n">
        <v>592.35732136682</v>
      </c>
      <c r="G27" s="196" t="n">
        <v>90</v>
      </c>
      <c r="H27" s="185">
        <f>ROUND(F27*G27,2)</f>
        <v/>
      </c>
      <c r="I27" s="173">
        <f>H27/$H$16</f>
        <v/>
      </c>
      <c r="J27" s="189" t="n"/>
      <c r="L27" s="173" t="n"/>
    </row>
    <row r="28" ht="25.5" customHeight="1" s="201">
      <c r="A28" s="273" t="n">
        <v>14</v>
      </c>
      <c r="B28" s="240" t="n"/>
      <c r="C28" s="182" t="inlineStr">
        <is>
          <t>91.02.02-003</t>
        </is>
      </c>
      <c r="D28" s="183" t="inlineStr">
        <is>
          <t>Агрегаты копровые без дизель-молота на базе экскаватора: 1 м3</t>
        </is>
      </c>
      <c r="E28" s="273" t="inlineStr">
        <is>
          <t>маш.час</t>
        </is>
      </c>
      <c r="F28" s="195" t="n">
        <v>230.24756022748</v>
      </c>
      <c r="G28" s="196" t="n">
        <v>200.67</v>
      </c>
      <c r="H28" s="185">
        <f>ROUND(F28*G28,2)</f>
        <v/>
      </c>
      <c r="I28" s="173">
        <f>H28/$H$16</f>
        <v/>
      </c>
      <c r="J28" s="189" t="n"/>
      <c r="L28" s="173" t="n"/>
    </row>
    <row r="29" ht="25.5" customHeight="1" s="201">
      <c r="A29" s="273" t="n">
        <v>15</v>
      </c>
      <c r="B29" s="240" t="n"/>
      <c r="C29" s="182" t="inlineStr">
        <is>
          <t>91.05.05-015</t>
        </is>
      </c>
      <c r="D29" s="183" t="inlineStr">
        <is>
          <t>Краны на автомобильном ходу, грузоподъемность 16 т</t>
        </is>
      </c>
      <c r="E29" s="273" t="inlineStr">
        <is>
          <t>маш.час</t>
        </is>
      </c>
      <c r="F29" s="195" t="n">
        <v>381.78523861408</v>
      </c>
      <c r="G29" s="196" t="n">
        <v>115.4</v>
      </c>
      <c r="H29" s="185">
        <f>ROUND(F29*G29,2)</f>
        <v/>
      </c>
      <c r="I29" s="173">
        <f>H29/$H$16</f>
        <v/>
      </c>
      <c r="J29" s="189" t="n"/>
      <c r="L29" s="173" t="n"/>
    </row>
    <row r="30">
      <c r="A30" s="239" t="inlineStr">
        <is>
          <t>Материалы</t>
        </is>
      </c>
      <c r="B30" s="319" t="n"/>
      <c r="C30" s="319" t="n"/>
      <c r="D30" s="319" t="n"/>
      <c r="E30" s="320" t="n"/>
      <c r="F30" s="239" t="n"/>
      <c r="G30" s="168" t="n"/>
      <c r="H30" s="186">
        <f>SUM(H31:H35)</f>
        <v/>
      </c>
    </row>
    <row r="31">
      <c r="A31" s="187" t="n">
        <v>16</v>
      </c>
      <c r="B31" s="240" t="n"/>
      <c r="C31" s="149" t="inlineStr">
        <is>
          <t>Прайс из СД ОП</t>
        </is>
      </c>
      <c r="D31" s="254" t="inlineStr">
        <is>
          <t>Свая-оболочка для многогранных опор</t>
        </is>
      </c>
      <c r="E31" s="247" t="inlineStr">
        <is>
          <t>1 т</t>
        </is>
      </c>
      <c r="F31" s="140" t="n">
        <v>842.562</v>
      </c>
      <c r="G31" s="185" t="n">
        <v>23728.72</v>
      </c>
      <c r="H31" s="185">
        <f>ROUND(F31*G31,2)</f>
        <v/>
      </c>
      <c r="I31" s="190">
        <f>H31/$H$30</f>
        <v/>
      </c>
    </row>
    <row r="32">
      <c r="A32" s="187" t="n">
        <v>17</v>
      </c>
      <c r="B32" s="240" t="n"/>
      <c r="C32" s="149" t="inlineStr">
        <is>
          <t>22.2.01.03-0003</t>
        </is>
      </c>
      <c r="D32" s="254" t="inlineStr">
        <is>
          <t>Изоляторы линейные подвесные стеклянные ПС-70Е</t>
        </is>
      </c>
      <c r="E32" s="247" t="inlineStr">
        <is>
          <t>шт</t>
        </is>
      </c>
      <c r="F32" s="199" t="n">
        <v>5794.81</v>
      </c>
      <c r="G32" s="256" t="n">
        <v>169.25</v>
      </c>
      <c r="H32" s="185">
        <f>ROUND(F32*G32,2)</f>
        <v/>
      </c>
      <c r="I32" s="190">
        <f>H32/$H$30</f>
        <v/>
      </c>
    </row>
    <row r="33">
      <c r="A33" s="187" t="n">
        <v>18</v>
      </c>
      <c r="B33" s="240" t="n"/>
      <c r="C33" s="149" t="inlineStr">
        <is>
          <t>22.2.01.03-0001</t>
        </is>
      </c>
      <c r="D33" s="254" t="inlineStr">
        <is>
          <t>Изоляторы линейные подвесные стеклянные ПС-120Б</t>
        </is>
      </c>
      <c r="E33" s="247" t="inlineStr">
        <is>
          <t>шт</t>
        </is>
      </c>
      <c r="F33" s="199" t="n">
        <v>3242.54</v>
      </c>
      <c r="G33" s="256" t="n">
        <v>202.55</v>
      </c>
      <c r="H33" s="185">
        <f>ROUND(F33*G33,2)</f>
        <v/>
      </c>
      <c r="I33" s="190" t="n"/>
    </row>
    <row r="34" ht="25.5" customHeight="1" s="201">
      <c r="A34" s="187" t="n">
        <v>19</v>
      </c>
      <c r="B34" s="240" t="n"/>
      <c r="C34" s="149" t="inlineStr">
        <is>
          <t>22.2.01.03-0002</t>
        </is>
      </c>
      <c r="D34" s="254" t="inlineStr">
        <is>
          <t>Изолятор подвесной стеклянный ПСВ-160А (Прим. Изолятор ПС210В)</t>
        </is>
      </c>
      <c r="E34" s="247" t="inlineStr">
        <is>
          <t>шт</t>
        </is>
      </c>
      <c r="F34" s="140" t="n">
        <v>1501.57</v>
      </c>
      <c r="G34" s="256" t="n">
        <v>284.68</v>
      </c>
      <c r="H34" s="185">
        <f>ROUND(F34*G34,2)</f>
        <v/>
      </c>
      <c r="I34" s="190" t="n"/>
    </row>
    <row r="35">
      <c r="A35" s="187" t="n">
        <v>20</v>
      </c>
      <c r="B35" s="240" t="n"/>
      <c r="C35" s="149" t="inlineStr">
        <is>
          <t>Прайс из СД ОП</t>
        </is>
      </c>
      <c r="D35" s="254" t="inlineStr">
        <is>
          <t>Сборные желебетонные подножки, Ф2-А</t>
        </is>
      </c>
      <c r="E35" s="247" t="inlineStr">
        <is>
          <t>м3</t>
        </is>
      </c>
      <c r="F35" s="140" t="n">
        <v>237.24806</v>
      </c>
      <c r="G35" s="256" t="n">
        <v>1597.37</v>
      </c>
      <c r="H35" s="185">
        <f>ROUND(F35*G35,2)</f>
        <v/>
      </c>
      <c r="I35" s="190">
        <f>H35/$H$30</f>
        <v/>
      </c>
    </row>
    <row r="38">
      <c r="B38" s="200" t="inlineStr">
        <is>
          <t>Составил ______________________     Е. М. Добровольская</t>
        </is>
      </c>
    </row>
    <row r="39">
      <c r="B39" s="156" t="inlineStr">
        <is>
          <t xml:space="preserve">                         (подпись, инициалы, фамилия)</t>
        </is>
      </c>
    </row>
    <row r="41">
      <c r="B41" s="200" t="inlineStr">
        <is>
          <t>Проверил ______________________        А.В. Костянецкая</t>
        </is>
      </c>
    </row>
    <row r="42">
      <c r="B42" s="156" t="inlineStr">
        <is>
          <t xml:space="preserve">                        (подпись, инициалы, фамилия)</t>
        </is>
      </c>
    </row>
  </sheetData>
  <mergeCells count="15">
    <mergeCell ref="A30:E30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6" sqref="E46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3.4257812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7" t="n"/>
      <c r="C1" s="207" t="n"/>
      <c r="D1" s="207" t="n"/>
      <c r="E1" s="207" t="n"/>
    </row>
    <row r="2">
      <c r="B2" s="207" t="n"/>
      <c r="C2" s="207" t="n"/>
      <c r="D2" s="207" t="n"/>
      <c r="E2" s="268" t="inlineStr">
        <is>
          <t>Приложение № 4</t>
        </is>
      </c>
    </row>
    <row r="3">
      <c r="B3" s="207" t="n"/>
      <c r="C3" s="207" t="n"/>
      <c r="D3" s="207" t="n"/>
      <c r="E3" s="207" t="n"/>
    </row>
    <row r="4">
      <c r="B4" s="207" t="n"/>
      <c r="C4" s="207" t="n"/>
      <c r="D4" s="207" t="n"/>
      <c r="E4" s="207" t="n"/>
    </row>
    <row r="5">
      <c r="B5" s="214" t="inlineStr">
        <is>
          <t>Ресурсная модель</t>
        </is>
      </c>
    </row>
    <row r="6">
      <c r="B6" s="178" t="n"/>
      <c r="C6" s="207" t="n"/>
      <c r="D6" s="207" t="n"/>
      <c r="E6" s="207" t="n"/>
    </row>
    <row r="7" ht="25.5" customHeight="1" s="201">
      <c r="B7" s="227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8">
      <c r="B8" s="243" t="inlineStr">
        <is>
          <t>Единица измерения  — 1 км</t>
        </is>
      </c>
    </row>
    <row r="9">
      <c r="B9" s="178" t="n"/>
      <c r="C9" s="207" t="n"/>
      <c r="D9" s="207" t="n"/>
      <c r="E9" s="207" t="n"/>
    </row>
    <row r="10" ht="51" customHeight="1" s="201">
      <c r="B10" s="247" t="inlineStr">
        <is>
          <t>Наименование</t>
        </is>
      </c>
      <c r="C10" s="247" t="inlineStr">
        <is>
          <t>Сметная стоимость в ценах на 01.01.2023
 (руб.)</t>
        </is>
      </c>
      <c r="D10" s="247" t="inlineStr">
        <is>
          <t>Удельный вес, 
(в СМР)</t>
        </is>
      </c>
      <c r="E10" s="247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5">
        <f>'Прил.5 Расчет СМР и ОБ'!J14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5">
        <f>'Прил.5 Расчет СМР и ОБ'!J32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5">
        <f>'Прил.5 Расчет СМР и ОБ'!J33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5">
        <f>'Прил.5 Расчет СМР и ОБ'!J16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5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5">
        <f>'Прил.5 Расчет СМР и ОБ'!J49</f>
        <v/>
      </c>
      <c r="D17" s="27">
        <f>C17/$C$24</f>
        <v/>
      </c>
      <c r="E17" s="27">
        <f>C17/$C$40</f>
        <v/>
      </c>
      <c r="G17" s="177" t="n"/>
    </row>
    <row r="18">
      <c r="B18" s="25" t="inlineStr">
        <is>
          <t>МАТЕРИАЛЫ, ВСЕГО:</t>
        </is>
      </c>
      <c r="C18" s="17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ОБ'!D52</f>
        <v/>
      </c>
      <c r="D23" s="27" t="n"/>
      <c r="E23" s="25" t="n"/>
    </row>
    <row r="24">
      <c r="B24" s="25" t="inlineStr">
        <is>
          <t>ВСЕГО СМР с НР и СП</t>
        </is>
      </c>
      <c r="C24" s="175">
        <f>C19+C20+C22</f>
        <v/>
      </c>
      <c r="D24" s="27">
        <f>C24/$C$24</f>
        <v/>
      </c>
      <c r="E24" s="27">
        <f>C24/$C$40</f>
        <v/>
      </c>
    </row>
    <row r="25" ht="25.5" customHeight="1" s="201">
      <c r="B25" s="25" t="inlineStr">
        <is>
          <t>ВСЕГО стоимость оборудования, в том числе</t>
        </is>
      </c>
      <c r="C25" s="175">
        <f>'Прил.5 Расчет СМР и ОБ'!J39</f>
        <v/>
      </c>
      <c r="D25" s="27" t="n"/>
      <c r="E25" s="27">
        <f>C25/$C$40</f>
        <v/>
      </c>
    </row>
    <row r="26" ht="25.5" customHeight="1" s="201">
      <c r="B26" s="25" t="inlineStr">
        <is>
          <t>стоимость оборудования технологического</t>
        </is>
      </c>
      <c r="C26" s="175">
        <f>'Прил.5 Расчет СМР и ОБ'!J40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  <c r="G27" s="176" t="n"/>
    </row>
    <row r="28" ht="33" customHeight="1" s="20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>
        <f>C29/$C$40</f>
        <v/>
      </c>
    </row>
    <row r="30" ht="38.25" customHeight="1" s="201">
      <c r="B30" s="25" t="inlineStr">
        <is>
          <t>Дополнительные затраты при производстве строительно-монтажных работ в зимнее время - 1%</t>
        </is>
      </c>
      <c r="C30" s="26">
        <f>ROUND((C24+C29)*1%,2)</f>
        <v/>
      </c>
      <c r="D30" s="25" t="n"/>
      <c r="E30" s="27">
        <f>C30/$C$40</f>
        <v/>
      </c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 s="20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20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20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76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76" t="n"/>
    </row>
    <row r="38" ht="38.25" customHeight="1" s="201">
      <c r="B38" s="25" t="inlineStr">
        <is>
          <t>ИТОГО (СМР+ОБОРУДОВАНИЕ+ПРОЧ. ЗАТР., УЧТЕННЫЕ ПОКАЗАТЕЛЕМ)</t>
        </is>
      </c>
      <c r="C38" s="175">
        <f>C27+C32+C33+C34+C35+C29+C31+C30+C36+C37</f>
        <v/>
      </c>
      <c r="D38" s="25" t="n"/>
      <c r="E38" s="27">
        <f>C38/$C$40</f>
        <v/>
      </c>
    </row>
    <row r="39" ht="13.5" customHeight="1" s="201">
      <c r="B39" s="25" t="inlineStr">
        <is>
          <t>Непредвиденные расходы</t>
        </is>
      </c>
      <c r="C39" s="17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5">
        <f>C40/'Прил.5 Расчет СМР и ОБ'!E56</f>
        <v/>
      </c>
      <c r="D41" s="25" t="n"/>
      <c r="E41" s="25" t="n"/>
    </row>
    <row r="42">
      <c r="B42" s="174" t="n"/>
      <c r="C42" s="207" t="n"/>
      <c r="D42" s="207" t="n"/>
      <c r="E42" s="207" t="n"/>
    </row>
    <row r="43">
      <c r="B43" s="174" t="inlineStr">
        <is>
          <t>Составил ____________________________  Е. М. Добровольская</t>
        </is>
      </c>
      <c r="C43" s="207" t="n"/>
      <c r="D43" s="207" t="n"/>
      <c r="E43" s="207" t="n"/>
    </row>
    <row r="44">
      <c r="B44" s="174" t="inlineStr">
        <is>
          <t xml:space="preserve">(должность, подпись, инициалы, фамилия) </t>
        </is>
      </c>
      <c r="C44" s="207" t="n"/>
      <c r="D44" s="207" t="n"/>
      <c r="E44" s="207" t="n"/>
    </row>
    <row r="45">
      <c r="B45" s="174" t="n"/>
      <c r="C45" s="207" t="n"/>
      <c r="D45" s="207" t="n"/>
      <c r="E45" s="207" t="n"/>
    </row>
    <row r="46">
      <c r="B46" s="174" t="inlineStr">
        <is>
          <t>Проверил ____________________________ А.В. Костянецкая</t>
        </is>
      </c>
      <c r="C46" s="207" t="n"/>
      <c r="D46" s="207" t="n"/>
      <c r="E46" s="207" t="n"/>
    </row>
    <row r="47">
      <c r="B47" s="243" t="inlineStr">
        <is>
          <t>(должность, подпись, инициалы, фамилия)</t>
        </is>
      </c>
      <c r="D47" s="207" t="n"/>
      <c r="E47" s="207" t="n"/>
    </row>
    <row r="49">
      <c r="B49" s="207" t="n"/>
      <c r="C49" s="207" t="n"/>
      <c r="D49" s="207" t="n"/>
      <c r="E49" s="207" t="n"/>
    </row>
    <row r="50">
      <c r="B50" s="207" t="n"/>
      <c r="C50" s="207" t="n"/>
      <c r="D50" s="207" t="n"/>
      <c r="E50" s="20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2"/>
  <sheetViews>
    <sheetView tabSelected="1" view="pageBreakPreview" zoomScale="70" zoomScaleSheetLayoutView="70" workbookViewId="0">
      <selection activeCell="X26" sqref="X26"/>
    </sheetView>
  </sheetViews>
  <sheetFormatPr baseColWidth="8" defaultColWidth="9.140625" defaultRowHeight="15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4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01">
      <c r="H2" s="244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207">
      <c r="A4" s="214" t="inlineStr">
        <is>
          <t>Расчет стоимости СМР и оборудования</t>
        </is>
      </c>
    </row>
    <row r="5" ht="12.75" customFormat="1" customHeight="1" s="207">
      <c r="A5" s="214" t="n"/>
      <c r="B5" s="214" t="n"/>
      <c r="C5" s="276" t="n"/>
      <c r="D5" s="214" t="n"/>
      <c r="E5" s="214" t="n"/>
      <c r="F5" s="214" t="n"/>
      <c r="G5" s="214" t="n"/>
      <c r="H5" s="214" t="n"/>
      <c r="I5" s="214" t="n"/>
      <c r="J5" s="214" t="n"/>
    </row>
    <row r="6" ht="27" customFormat="1" customHeight="1" s="207">
      <c r="A6" s="194" t="inlineStr">
        <is>
          <t>Наименование разрабатываемого показателя УНЦ</t>
        </is>
      </c>
      <c r="B6" s="150" t="n"/>
      <c r="C6" s="150" t="n"/>
      <c r="D6" s="217" t="inlineStr">
        <is>
          <t>Строительно-монтажные работы ВЛ 0,4-750 кВ без опор и провода. Двухцепная, многогранные опоры 110(150) кВ.</t>
        </is>
      </c>
    </row>
    <row r="7" ht="12.75" customFormat="1" customHeight="1" s="207">
      <c r="A7" s="217" t="inlineStr">
        <is>
          <t>Единица измерения  — 1 км</t>
        </is>
      </c>
      <c r="I7" s="227" t="n"/>
      <c r="J7" s="227" t="n"/>
    </row>
    <row r="8" ht="13.5" customFormat="1" customHeight="1" s="207">
      <c r="A8" s="217" t="n"/>
    </row>
    <row r="9" ht="27" customHeight="1" s="201">
      <c r="A9" s="247" t="inlineStr">
        <is>
          <t>№ пп.</t>
        </is>
      </c>
      <c r="B9" s="247" t="inlineStr">
        <is>
          <t>Код ресурса</t>
        </is>
      </c>
      <c r="C9" s="247" t="inlineStr">
        <is>
          <t>Наименование</t>
        </is>
      </c>
      <c r="D9" s="247" t="inlineStr">
        <is>
          <t>Ед. изм.</t>
        </is>
      </c>
      <c r="E9" s="247" t="inlineStr">
        <is>
          <t>Кол-во единиц по проектным данным</t>
        </is>
      </c>
      <c r="F9" s="247" t="inlineStr">
        <is>
          <t>Сметная стоимость в ценах на 01.01.2000 (руб.)</t>
        </is>
      </c>
      <c r="G9" s="320" t="n"/>
      <c r="H9" s="247" t="inlineStr">
        <is>
          <t>Удельный вес, %</t>
        </is>
      </c>
      <c r="I9" s="247" t="inlineStr">
        <is>
          <t>Сметная стоимость в ценах на 01.01.2023 (руб.)</t>
        </is>
      </c>
      <c r="J9" s="320" t="n"/>
      <c r="M9" s="208" t="n"/>
      <c r="N9" s="208" t="n"/>
    </row>
    <row r="10" ht="28.5" customHeight="1" s="201">
      <c r="A10" s="322" t="n"/>
      <c r="B10" s="322" t="n"/>
      <c r="C10" s="322" t="n"/>
      <c r="D10" s="322" t="n"/>
      <c r="E10" s="322" t="n"/>
      <c r="F10" s="247" t="inlineStr">
        <is>
          <t>на ед. изм.</t>
        </is>
      </c>
      <c r="G10" s="247" t="inlineStr">
        <is>
          <t>общая</t>
        </is>
      </c>
      <c r="H10" s="322" t="n"/>
      <c r="I10" s="247" t="inlineStr">
        <is>
          <t>на ед. изм.</t>
        </is>
      </c>
      <c r="J10" s="247" t="inlineStr">
        <is>
          <t>общая</t>
        </is>
      </c>
      <c r="M10" s="208" t="n"/>
      <c r="N10" s="208" t="n"/>
    </row>
    <row r="11">
      <c r="A11" s="247" t="n">
        <v>1</v>
      </c>
      <c r="B11" s="247" t="n">
        <v>2</v>
      </c>
      <c r="C11" s="247" t="n">
        <v>3</v>
      </c>
      <c r="D11" s="247" t="n">
        <v>4</v>
      </c>
      <c r="E11" s="247" t="n">
        <v>5</v>
      </c>
      <c r="F11" s="247" t="n">
        <v>6</v>
      </c>
      <c r="G11" s="247" t="n">
        <v>7</v>
      </c>
      <c r="H11" s="247" t="n">
        <v>8</v>
      </c>
      <c r="I11" s="248" t="n">
        <v>9</v>
      </c>
      <c r="J11" s="248" t="n">
        <v>10</v>
      </c>
      <c r="M11" s="208" t="n"/>
      <c r="N11" s="208" t="n"/>
    </row>
    <row r="12">
      <c r="A12" s="247" t="n"/>
      <c r="B12" s="238" t="inlineStr">
        <is>
          <t>Затраты труда рабочих-строителей</t>
        </is>
      </c>
      <c r="C12" s="319" t="n"/>
      <c r="D12" s="319" t="n"/>
      <c r="E12" s="319" t="n"/>
      <c r="F12" s="319" t="n"/>
      <c r="G12" s="319" t="n"/>
      <c r="H12" s="320" t="n"/>
      <c r="I12" s="139" t="n"/>
      <c r="J12" s="139" t="n"/>
    </row>
    <row r="13" ht="25.5" customHeight="1" s="201">
      <c r="A13" s="247" t="n">
        <v>1</v>
      </c>
      <c r="B13" s="149" t="inlineStr">
        <is>
          <t>1-4-1</t>
        </is>
      </c>
      <c r="C13" s="254" t="inlineStr">
        <is>
          <t>Затраты труда рабочих-строителей среднего разряда (4,1)</t>
        </is>
      </c>
      <c r="D13" s="247" t="inlineStr">
        <is>
          <t>чел.-ч.</t>
        </is>
      </c>
      <c r="E13" s="140" t="n">
        <v>18699.406178279</v>
      </c>
      <c r="F13" s="32" t="n">
        <v>9.76</v>
      </c>
      <c r="G13" s="198">
        <f>ROUND(E13*F13,2)</f>
        <v/>
      </c>
      <c r="H13" s="142">
        <f>G13/G14</f>
        <v/>
      </c>
      <c r="I13" s="32">
        <f>ФОТр.тек.!E13</f>
        <v/>
      </c>
      <c r="J13" s="32">
        <f>ROUND(I13*E13,2)</f>
        <v/>
      </c>
    </row>
    <row r="14" ht="25.5" customFormat="1" customHeight="1" s="208">
      <c r="A14" s="247" t="n"/>
      <c r="B14" s="247" t="n"/>
      <c r="C14" s="238" t="inlineStr">
        <is>
          <t>Итого по разделу "Затраты труда рабочих-строителей"</t>
        </is>
      </c>
      <c r="D14" s="247" t="inlineStr">
        <is>
          <t>чел.-ч.</t>
        </is>
      </c>
      <c r="E14" s="140" t="n">
        <v>18699.406178279</v>
      </c>
      <c r="F14" s="32" t="n"/>
      <c r="G14" s="32">
        <f>SUM(G13:G13)</f>
        <v/>
      </c>
      <c r="H14" s="257" t="n">
        <v>1</v>
      </c>
      <c r="I14" s="139" t="n"/>
      <c r="J14" s="32">
        <f>SUM(J13:J13)</f>
        <v/>
      </c>
    </row>
    <row r="15" ht="14.25" customFormat="1" customHeight="1" s="208">
      <c r="A15" s="247" t="n"/>
      <c r="B15" s="254" t="inlineStr">
        <is>
          <t>Затраты труда машинистов</t>
        </is>
      </c>
      <c r="C15" s="319" t="n"/>
      <c r="D15" s="319" t="n"/>
      <c r="E15" s="319" t="n"/>
      <c r="F15" s="319" t="n"/>
      <c r="G15" s="319" t="n"/>
      <c r="H15" s="320" t="n"/>
      <c r="I15" s="139" t="n"/>
      <c r="J15" s="139" t="n"/>
    </row>
    <row r="16" ht="14.25" customFormat="1" customHeight="1" s="208">
      <c r="A16" s="247" t="n">
        <v>2</v>
      </c>
      <c r="B16" s="247" t="n">
        <v>2</v>
      </c>
      <c r="C16" s="254" t="inlineStr">
        <is>
          <t>Затраты труда машинистов</t>
        </is>
      </c>
      <c r="D16" s="247" t="inlineStr">
        <is>
          <t>чел.-ч.</t>
        </is>
      </c>
      <c r="E16" s="140" t="n">
        <v>7696.183</v>
      </c>
      <c r="F16" s="32" t="n">
        <v>15.3</v>
      </c>
      <c r="G16" s="198">
        <f>ROUND(E16*F16,2)</f>
        <v/>
      </c>
      <c r="H16" s="257" t="n">
        <v>1</v>
      </c>
      <c r="I16" s="32">
        <f>ROUND(F16*Прил.10!D11,2)</f>
        <v/>
      </c>
      <c r="J16" s="32">
        <f>ROUND(I16*E16,2)</f>
        <v/>
      </c>
    </row>
    <row r="17" ht="14.25" customFormat="1" customHeight="1" s="208">
      <c r="A17" s="247" t="n"/>
      <c r="B17" s="238" t="inlineStr">
        <is>
          <t>Машины и механизмы</t>
        </is>
      </c>
      <c r="C17" s="319" t="n"/>
      <c r="D17" s="319" t="n"/>
      <c r="E17" s="319" t="n"/>
      <c r="F17" s="319" t="n"/>
      <c r="G17" s="319" t="n"/>
      <c r="H17" s="320" t="n"/>
      <c r="I17" s="139" t="n"/>
      <c r="J17" s="139" t="n"/>
    </row>
    <row r="18" ht="14.25" customFormat="1" customHeight="1" s="208">
      <c r="A18" s="247" t="n"/>
      <c r="B18" s="254" t="inlineStr">
        <is>
          <t>Основные машины и механизмы</t>
        </is>
      </c>
      <c r="C18" s="319" t="n"/>
      <c r="D18" s="319" t="n"/>
      <c r="E18" s="319" t="n"/>
      <c r="F18" s="319" t="n"/>
      <c r="G18" s="319" t="n"/>
      <c r="H18" s="320" t="n"/>
      <c r="I18" s="139" t="n"/>
      <c r="J18" s="139" t="n"/>
    </row>
    <row r="19" ht="25.5" customFormat="1" customHeight="1" s="208">
      <c r="A19" s="247" t="n">
        <v>3</v>
      </c>
      <c r="B19" s="149" t="inlineStr">
        <is>
          <t>91.15.02-029</t>
        </is>
      </c>
      <c r="C19" s="254" t="inlineStr">
        <is>
          <t>Тракторы на гусеничном ходу с лебедкой 132 кВт (180 л.с.)</t>
        </is>
      </c>
      <c r="D19" s="247" t="inlineStr">
        <is>
          <t>маш.час</t>
        </is>
      </c>
      <c r="E19" s="140" t="n">
        <v>1770.2706897402</v>
      </c>
      <c r="F19" s="256" t="n">
        <v>147.43</v>
      </c>
      <c r="G19" s="32">
        <f>ROUND(E19*F19,2)</f>
        <v/>
      </c>
      <c r="H19" s="142">
        <f>G19/$G$34</f>
        <v/>
      </c>
      <c r="I19" s="32">
        <f>ROUND(F19*Прил.10!$D$12,2)</f>
        <v/>
      </c>
      <c r="J19" s="32">
        <f>ROUND(I19*E19,2)</f>
        <v/>
      </c>
    </row>
    <row r="20" ht="51" customFormat="1" customHeight="1" s="208">
      <c r="A20" s="247" t="n">
        <v>4</v>
      </c>
      <c r="B20" s="149" t="inlineStr">
        <is>
          <t>91.04.01-011</t>
        </is>
      </c>
      <c r="C20" s="254" t="inlineStr">
        <is>
          <t>Буровые установки (включая универсальные комплексы) с крутящим моментом 250-400 кНм, мощность 350-500 кВт</t>
        </is>
      </c>
      <c r="D20" s="247" t="inlineStr">
        <is>
          <t>маш.час</t>
        </is>
      </c>
      <c r="E20" s="140" t="n">
        <v>38.689525340926</v>
      </c>
      <c r="F20" s="256" t="n">
        <v>6656.69</v>
      </c>
      <c r="G20" s="32">
        <f>ROUND(E20*F20,2)</f>
        <v/>
      </c>
      <c r="H20" s="142">
        <f>G20/$G$34</f>
        <v/>
      </c>
      <c r="I20" s="32">
        <f>ROUND(F20*Прил.10!$D$12,2)</f>
        <v/>
      </c>
      <c r="J20" s="32">
        <f>ROUND(I20*E20,2)</f>
        <v/>
      </c>
    </row>
    <row r="21" ht="25.5" customFormat="1" customHeight="1" s="208">
      <c r="A21" s="247" t="n">
        <v>5</v>
      </c>
      <c r="B21" s="149" t="inlineStr">
        <is>
          <t>91.13.03-111</t>
        </is>
      </c>
      <c r="C21" s="254" t="inlineStr">
        <is>
          <t>Спецавтомашины, грузоподъемность до 8 т, вездеходы</t>
        </is>
      </c>
      <c r="D21" s="247" t="inlineStr">
        <is>
          <t>маш.час</t>
        </is>
      </c>
      <c r="E21" s="140" t="n">
        <v>963.3601461215</v>
      </c>
      <c r="F21" s="256" t="n">
        <v>189.95</v>
      </c>
      <c r="G21" s="32">
        <f>ROUND(E21*F21,2)</f>
        <v/>
      </c>
      <c r="H21" s="142">
        <f>G21/$G$34</f>
        <v/>
      </c>
      <c r="I21" s="32">
        <f>ROUND(F21*Прил.10!$D$12,2)</f>
        <v/>
      </c>
      <c r="J21" s="32">
        <f>ROUND(I21*E21,2)</f>
        <v/>
      </c>
    </row>
    <row r="22" ht="25.5" customFormat="1" customHeight="1" s="208">
      <c r="A22" s="247" t="n">
        <v>6</v>
      </c>
      <c r="B22" s="149" t="inlineStr">
        <is>
          <t>91.06.06-014</t>
        </is>
      </c>
      <c r="C22" s="254" t="inlineStr">
        <is>
          <t>Автогидроподъемники высотой подъема: 28 м</t>
        </is>
      </c>
      <c r="D22" s="247" t="inlineStr">
        <is>
          <t>маш.час</t>
        </is>
      </c>
      <c r="E22" s="140" t="n">
        <v>728.92924895799</v>
      </c>
      <c r="F22" s="256" t="n">
        <v>243.49</v>
      </c>
      <c r="G22" s="32">
        <f>ROUND(E22*F22,2)</f>
        <v/>
      </c>
      <c r="H22" s="142">
        <f>G22/$G$34</f>
        <v/>
      </c>
      <c r="I22" s="32">
        <f>ROUND(F22*Прил.10!$D$12,2)</f>
        <v/>
      </c>
      <c r="J22" s="32">
        <f>ROUND(I22*E22,2)</f>
        <v/>
      </c>
    </row>
    <row r="23" ht="38.25" customFormat="1" customHeight="1" s="208">
      <c r="A23" s="247" t="n">
        <v>7</v>
      </c>
      <c r="B23" s="149" t="inlineStr">
        <is>
          <t>91.04.01-077</t>
        </is>
      </c>
      <c r="C23" s="254" t="inlineStr">
        <is>
          <t>Установки и агрегаты буровые на базе автомобилей глубина бурения: до 200 м, грузоподъемность до 4т</t>
        </is>
      </c>
      <c r="D23" s="247" t="inlineStr">
        <is>
          <t>маш.час</t>
        </is>
      </c>
      <c r="E23" s="140" t="n">
        <v>791.06522189384</v>
      </c>
      <c r="F23" s="256" t="n">
        <v>219.82</v>
      </c>
      <c r="G23" s="32">
        <f>ROUND(E23*F23,2)</f>
        <v/>
      </c>
      <c r="H23" s="142">
        <f>G23/$G$34</f>
        <v/>
      </c>
      <c r="I23" s="32">
        <f>ROUND(F23*Прил.10!$D$12,2)</f>
        <v/>
      </c>
      <c r="J23" s="32">
        <f>ROUND(I23*E23,2)</f>
        <v/>
      </c>
    </row>
    <row r="24" ht="51" customFormat="1" customHeight="1" s="208">
      <c r="A24" s="247" t="n">
        <v>8</v>
      </c>
      <c r="B24" s="149" t="inlineStr">
        <is>
          <t>ФССЦпг-04-01-01-004</t>
        </is>
      </c>
      <c r="C24" s="254" t="inlineStr">
        <is>
          <t>Перевозка грузов тракторами на гусеничном ходу с прицепами грузоподъемностью 2 т на расстояние: I класс груза 4 км</t>
        </is>
      </c>
      <c r="D24" s="247" t="inlineStr">
        <is>
          <t>1 т груза</t>
        </is>
      </c>
      <c r="E24" s="140" t="n">
        <v>3051.3238111407</v>
      </c>
      <c r="F24" s="256" t="n">
        <v>29.93</v>
      </c>
      <c r="G24" s="32">
        <f>ROUND(E24*F24,2)</f>
        <v/>
      </c>
      <c r="H24" s="142">
        <f>G24/$G$34</f>
        <v/>
      </c>
      <c r="I24" s="32">
        <f>ROUND(F24*Прил.10!$D$12,2)</f>
        <v/>
      </c>
      <c r="J24" s="32">
        <f>ROUND(I24*E24,2)</f>
        <v/>
      </c>
    </row>
    <row r="25" ht="25.5" customFormat="1" customHeight="1" s="208">
      <c r="A25" s="247" t="n">
        <v>9</v>
      </c>
      <c r="B25" s="149" t="inlineStr">
        <is>
          <t>91.05.14-024</t>
        </is>
      </c>
      <c r="C25" s="254" t="inlineStr">
        <is>
          <t>Краны на тракторе, мощность 121 кВт (165 л.с.), грузоподъемность 10 т (прицепные)</t>
        </is>
      </c>
      <c r="D25" s="247" t="inlineStr">
        <is>
          <t>маш.час</t>
        </is>
      </c>
      <c r="E25" s="140" t="n">
        <v>1178.5182696662</v>
      </c>
      <c r="F25" s="256" t="n">
        <v>69.84</v>
      </c>
      <c r="G25" s="32">
        <f>ROUND(E25*F25,2)</f>
        <v/>
      </c>
      <c r="H25" s="142">
        <f>G25/$G$34</f>
        <v/>
      </c>
      <c r="I25" s="32">
        <f>ROUND(F25*Прил.10!$D$12,2)</f>
        <v/>
      </c>
      <c r="J25" s="32">
        <f>ROUND(I25*E25,2)</f>
        <v/>
      </c>
    </row>
    <row r="26" ht="25.5" customFormat="1" customHeight="1" s="208">
      <c r="A26" s="247" t="n">
        <v>10</v>
      </c>
      <c r="B26" s="149" t="inlineStr">
        <is>
          <t>91.05.05-016</t>
        </is>
      </c>
      <c r="C26" s="254" t="inlineStr">
        <is>
          <t>Краны на автомобильном ходу, грузоподъемность 25 т</t>
        </is>
      </c>
      <c r="D26" s="247" t="inlineStr">
        <is>
          <t>маш.час</t>
        </is>
      </c>
      <c r="E26" s="140" t="n">
        <v>150.79338889652</v>
      </c>
      <c r="F26" s="256" t="n">
        <v>476.43</v>
      </c>
      <c r="G26" s="32">
        <f>ROUND(E26*F26,2)</f>
        <v/>
      </c>
      <c r="H26" s="142">
        <f>G26/$G$34</f>
        <v/>
      </c>
      <c r="I26" s="32">
        <f>ROUND(F26*Прил.10!$D$12,2)</f>
        <v/>
      </c>
      <c r="J26" s="32">
        <f>ROUND(I26*E26,2)</f>
        <v/>
      </c>
    </row>
    <row r="27" ht="25.5" customFormat="1" customHeight="1" s="208">
      <c r="A27" s="247" t="n">
        <v>11</v>
      </c>
      <c r="B27" s="149" t="inlineStr">
        <is>
          <t>91.11.02-021</t>
        </is>
      </c>
      <c r="C27" s="254" t="inlineStr">
        <is>
          <t>Комплекс для монтажа проводов методом "под тяжением"</t>
        </is>
      </c>
      <c r="D27" s="247" t="inlineStr">
        <is>
          <t>маш.час</t>
        </is>
      </c>
      <c r="E27" s="140" t="n">
        <v>99.263722374983</v>
      </c>
      <c r="F27" s="256" t="n">
        <v>637.76</v>
      </c>
      <c r="G27" s="32">
        <f>ROUND(E27*F27,2)</f>
        <v/>
      </c>
      <c r="H27" s="142">
        <f>G27/$G$34</f>
        <v/>
      </c>
      <c r="I27" s="32">
        <f>ROUND(F27*Прил.10!$D$12,2)</f>
        <v/>
      </c>
      <c r="J27" s="32">
        <f>ROUND(I27*E27,2)</f>
        <v/>
      </c>
    </row>
    <row r="28" ht="51" customFormat="1" customHeight="1" s="208">
      <c r="A28" s="247" t="n">
        <v>12</v>
      </c>
      <c r="B28" s="149" t="inlineStr">
        <is>
          <t>ФССЦпг-03-21-01-081</t>
        </is>
      </c>
      <c r="C28" s="254" t="inlineStr">
        <is>
          <t>Перевозка грузов автомобилями-самосвалами грузоподъемностью 10 т работающих вне карьера на расстояние: I класс груза до 81 км</t>
        </is>
      </c>
      <c r="D28" s="247" t="inlineStr">
        <is>
          <t>1 т груза</t>
        </is>
      </c>
      <c r="E28" s="140" t="n">
        <v>1572.4018240255</v>
      </c>
      <c r="F28" s="256" t="n">
        <v>39.36</v>
      </c>
      <c r="G28" s="32">
        <f>ROUND(E28*F28,2)</f>
        <v/>
      </c>
      <c r="H28" s="142">
        <f>G28/$G$34</f>
        <v/>
      </c>
      <c r="I28" s="32">
        <f>ROUND(F28*Прил.10!$D$12,2)</f>
        <v/>
      </c>
      <c r="J28" s="32">
        <f>ROUND(I28*E28,2)</f>
        <v/>
      </c>
    </row>
    <row r="29" ht="51" customFormat="1" customHeight="1" s="208">
      <c r="A29" s="247" t="n">
        <v>13</v>
      </c>
      <c r="B29" s="149" t="inlineStr">
        <is>
          <t>91.18.01-007</t>
        </is>
      </c>
      <c r="C29" s="254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47" t="inlineStr">
        <is>
          <t>маш.час</t>
        </is>
      </c>
      <c r="E29" s="140" t="n">
        <v>592.35732136682</v>
      </c>
      <c r="F29" s="256" t="n">
        <v>90</v>
      </c>
      <c r="G29" s="32">
        <f>ROUND(E29*F29,2)</f>
        <v/>
      </c>
      <c r="H29" s="142">
        <f>G29/$G$34</f>
        <v/>
      </c>
      <c r="I29" s="32">
        <f>ROUND(F29*Прил.10!$D$12,2)</f>
        <v/>
      </c>
      <c r="J29" s="32">
        <f>ROUND(I29*E29,2)</f>
        <v/>
      </c>
    </row>
    <row r="30" ht="25.5" customFormat="1" customHeight="1" s="208">
      <c r="A30" s="247" t="n">
        <v>14</v>
      </c>
      <c r="B30" s="149" t="inlineStr">
        <is>
          <t>91.02.02-003</t>
        </is>
      </c>
      <c r="C30" s="254" t="inlineStr">
        <is>
          <t>Агрегаты копровые без дизель-молота на базе экскаватора: 1 м3</t>
        </is>
      </c>
      <c r="D30" s="247" t="inlineStr">
        <is>
          <t>маш.час</t>
        </is>
      </c>
      <c r="E30" s="140" t="n">
        <v>230.24756022748</v>
      </c>
      <c r="F30" s="256" t="n">
        <v>200.67</v>
      </c>
      <c r="G30" s="32">
        <f>ROUND(E30*F30,2)</f>
        <v/>
      </c>
      <c r="H30" s="142">
        <f>G30/$G$34</f>
        <v/>
      </c>
      <c r="I30" s="32">
        <f>ROUND(F30*Прил.10!$D$12,2)</f>
        <v/>
      </c>
      <c r="J30" s="32">
        <f>ROUND(I30*E30,2)</f>
        <v/>
      </c>
    </row>
    <row r="31" ht="30" customFormat="1" customHeight="1" s="208">
      <c r="A31" s="247" t="n">
        <v>15</v>
      </c>
      <c r="B31" s="149" t="inlineStr">
        <is>
          <t>91.05.05-015</t>
        </is>
      </c>
      <c r="C31" s="254" t="inlineStr">
        <is>
          <t>Краны на автомобильном ходу, грузоподъемность 16 т</t>
        </is>
      </c>
      <c r="D31" s="247" t="inlineStr">
        <is>
          <t>маш.час</t>
        </is>
      </c>
      <c r="E31" s="140" t="n">
        <v>381.78523861408</v>
      </c>
      <c r="F31" s="256" t="n">
        <v>115.4</v>
      </c>
      <c r="G31" s="32">
        <f>ROUND(E31*F31,2)</f>
        <v/>
      </c>
      <c r="H31" s="142">
        <f>G31/$G$34</f>
        <v/>
      </c>
      <c r="I31" s="32">
        <f>ROUND(F31*Прил.10!$D$12,2)</f>
        <v/>
      </c>
      <c r="J31" s="32">
        <f>ROUND(I31*E31,2)</f>
        <v/>
      </c>
    </row>
    <row r="32" ht="14.25" customFormat="1" customHeight="1" s="208">
      <c r="A32" s="247" t="n"/>
      <c r="B32" s="247" t="n"/>
      <c r="C32" s="254" t="inlineStr">
        <is>
          <t>Итого основные машины и механизмы</t>
        </is>
      </c>
      <c r="D32" s="247" t="n"/>
      <c r="E32" s="140" t="n"/>
      <c r="F32" s="32" t="n"/>
      <c r="G32" s="32">
        <f>SUM(G19:G31)</f>
        <v/>
      </c>
      <c r="H32" s="257">
        <f>G32/G34</f>
        <v/>
      </c>
      <c r="I32" s="141" t="n"/>
      <c r="J32" s="32">
        <f>SUM(J19:J31)</f>
        <v/>
      </c>
    </row>
    <row r="33" ht="14.25" customFormat="1" customHeight="1" s="208">
      <c r="A33" s="247" t="n"/>
      <c r="B33" s="247" t="n"/>
      <c r="C33" s="254" t="inlineStr">
        <is>
          <t>Итого прочие машины и механизмы</t>
        </is>
      </c>
      <c r="D33" s="247" t="n"/>
      <c r="E33" s="255" t="n"/>
      <c r="F33" s="32" t="n"/>
      <c r="G33" s="141" t="n">
        <v>235072.6275</v>
      </c>
      <c r="H33" s="142">
        <f>G33/G34</f>
        <v/>
      </c>
      <c r="I33" s="32" t="n"/>
      <c r="J33" s="141" t="n">
        <v>2811467.8395</v>
      </c>
    </row>
    <row r="34" ht="25.5" customFormat="1" customHeight="1" s="208">
      <c r="A34" s="247" t="n"/>
      <c r="B34" s="247" t="n"/>
      <c r="C34" s="238" t="inlineStr">
        <is>
          <t>Итого по разделу «Машины и механизмы»</t>
        </is>
      </c>
      <c r="D34" s="247" t="n"/>
      <c r="E34" s="255" t="n"/>
      <c r="F34" s="32" t="n"/>
      <c r="G34" s="32">
        <f>G33+G32</f>
        <v/>
      </c>
      <c r="H34" s="143" t="n">
        <v>1</v>
      </c>
      <c r="I34" s="144" t="n"/>
      <c r="J34" s="145">
        <f>J33+J32</f>
        <v/>
      </c>
    </row>
    <row r="35" ht="14.25" customFormat="1" customHeight="1" s="208">
      <c r="A35" s="247" t="n"/>
      <c r="B35" s="238" t="inlineStr">
        <is>
          <t>Оборудование</t>
        </is>
      </c>
      <c r="C35" s="319" t="n"/>
      <c r="D35" s="319" t="n"/>
      <c r="E35" s="319" t="n"/>
      <c r="F35" s="319" t="n"/>
      <c r="G35" s="319" t="n"/>
      <c r="H35" s="320" t="n"/>
      <c r="I35" s="139" t="n"/>
      <c r="J35" s="139" t="n"/>
    </row>
    <row r="36">
      <c r="A36" s="247" t="n"/>
      <c r="B36" s="250" t="inlineStr">
        <is>
          <t>Основное оборудование</t>
        </is>
      </c>
      <c r="C36" s="327" t="n"/>
      <c r="D36" s="327" t="n"/>
      <c r="E36" s="327" t="n"/>
      <c r="F36" s="327" t="n"/>
      <c r="G36" s="327" t="n"/>
      <c r="H36" s="328" t="n"/>
      <c r="I36" s="139" t="n"/>
      <c r="J36" s="139" t="n"/>
    </row>
    <row r="37">
      <c r="A37" s="247" t="n"/>
      <c r="B37" s="247" t="n"/>
      <c r="C37" s="254" t="inlineStr">
        <is>
          <t>Итого основное оборудование</t>
        </is>
      </c>
      <c r="D37" s="247" t="n"/>
      <c r="E37" s="140" t="n"/>
      <c r="F37" s="256" t="n"/>
      <c r="G37" s="32" t="n">
        <v>0</v>
      </c>
      <c r="H37" s="257" t="n">
        <v>0</v>
      </c>
      <c r="I37" s="141" t="n"/>
      <c r="J37" s="32" t="n">
        <v>0</v>
      </c>
    </row>
    <row r="38">
      <c r="A38" s="247" t="n"/>
      <c r="B38" s="247" t="n"/>
      <c r="C38" s="254" t="inlineStr">
        <is>
          <t>Итого прочее оборудование</t>
        </is>
      </c>
      <c r="D38" s="247" t="n"/>
      <c r="E38" s="140" t="n"/>
      <c r="F38" s="256" t="n"/>
      <c r="G38" s="32" t="n">
        <v>0</v>
      </c>
      <c r="H38" s="257" t="n">
        <v>0</v>
      </c>
      <c r="I38" s="141" t="n"/>
      <c r="J38" s="32" t="n">
        <v>0</v>
      </c>
    </row>
    <row r="39">
      <c r="A39" s="247" t="n"/>
      <c r="B39" s="247" t="n"/>
      <c r="C39" s="238" t="inlineStr">
        <is>
          <t>Итого по разделу «Оборудование»</t>
        </is>
      </c>
      <c r="D39" s="247" t="n"/>
      <c r="E39" s="255" t="n"/>
      <c r="F39" s="256" t="n"/>
      <c r="G39" s="32">
        <f>G38+G37</f>
        <v/>
      </c>
      <c r="H39" s="257">
        <f>H38+H37</f>
        <v/>
      </c>
      <c r="I39" s="141" t="n"/>
      <c r="J39" s="32">
        <f>J38+J37</f>
        <v/>
      </c>
    </row>
    <row r="40" ht="25.5" customHeight="1" s="201">
      <c r="A40" s="247" t="n"/>
      <c r="B40" s="247" t="n"/>
      <c r="C40" s="254" t="inlineStr">
        <is>
          <t>в том числе технологическое оборудование</t>
        </is>
      </c>
      <c r="D40" s="247" t="n"/>
      <c r="E40" s="146" t="n"/>
      <c r="F40" s="256" t="n"/>
      <c r="G40" s="32">
        <f>G39</f>
        <v/>
      </c>
      <c r="H40" s="257" t="n"/>
      <c r="I40" s="141" t="n"/>
      <c r="J40" s="32">
        <f>J39</f>
        <v/>
      </c>
    </row>
    <row r="41" ht="14.25" customFormat="1" customHeight="1" s="208">
      <c r="A41" s="247" t="n"/>
      <c r="B41" s="238" t="inlineStr">
        <is>
          <t>Материалы</t>
        </is>
      </c>
      <c r="C41" s="319" t="n"/>
      <c r="D41" s="319" t="n"/>
      <c r="E41" s="319" t="n"/>
      <c r="F41" s="319" t="n"/>
      <c r="G41" s="319" t="n"/>
      <c r="H41" s="320" t="n"/>
      <c r="I41" s="139" t="n"/>
      <c r="J41" s="139" t="n"/>
    </row>
    <row r="42" ht="14.25" customFormat="1" customHeight="1" s="208">
      <c r="A42" s="248" t="n"/>
      <c r="B42" s="250" t="inlineStr">
        <is>
          <t>Основные материалы</t>
        </is>
      </c>
      <c r="C42" s="327" t="n"/>
      <c r="D42" s="327" t="n"/>
      <c r="E42" s="327" t="n"/>
      <c r="F42" s="327" t="n"/>
      <c r="G42" s="327" t="n"/>
      <c r="H42" s="328" t="n"/>
      <c r="I42" s="151" t="n"/>
      <c r="J42" s="151" t="n"/>
    </row>
    <row r="43" ht="14.25" customFormat="1" customHeight="1" s="208">
      <c r="A43" s="247" t="n">
        <v>16</v>
      </c>
      <c r="B43" s="149" t="inlineStr">
        <is>
          <t>БЦ.114.11</t>
        </is>
      </c>
      <c r="C43" s="254" t="inlineStr">
        <is>
          <t>Свая-оболочка для многогранных опор</t>
        </is>
      </c>
      <c r="D43" s="247" t="inlineStr">
        <is>
          <t>1 т</t>
        </is>
      </c>
      <c r="E43" s="140" t="n">
        <v>842.562</v>
      </c>
      <c r="F43" s="256">
        <f>ROUND(I43/Прил.10!D13,2)</f>
        <v/>
      </c>
      <c r="G43" s="32">
        <f>ROUND(E43*F43,2)</f>
        <v/>
      </c>
      <c r="H43" s="142">
        <f>G43/$G$50</f>
        <v/>
      </c>
      <c r="I43" s="32" t="n">
        <v>233490.57</v>
      </c>
      <c r="J43" s="32">
        <f>ROUND(I43*E43,2)</f>
        <v/>
      </c>
    </row>
    <row r="44" ht="25.5" customFormat="1" customHeight="1" s="208">
      <c r="A44" s="247" t="n">
        <v>17</v>
      </c>
      <c r="B44" s="149" t="inlineStr">
        <is>
          <t>22.2.01.03-0003</t>
        </is>
      </c>
      <c r="C44" s="254" t="inlineStr">
        <is>
          <t>Изоляторы линейные подвесные стеклянные ПС-70Е</t>
        </is>
      </c>
      <c r="D44" s="247" t="inlineStr">
        <is>
          <t>шт</t>
        </is>
      </c>
      <c r="E44" s="140" t="n">
        <v>5794.81</v>
      </c>
      <c r="F44" s="256" t="n">
        <v>169.25</v>
      </c>
      <c r="G44" s="32">
        <f>ROUND(E44*F44,2)</f>
        <v/>
      </c>
      <c r="H44" s="142">
        <f>G44/$G$50</f>
        <v/>
      </c>
      <c r="I44" s="32">
        <f>ROUND(F44*Прил.10!$D$13,2)</f>
        <v/>
      </c>
      <c r="J44" s="32">
        <f>ROUND(I44*E44,2)</f>
        <v/>
      </c>
    </row>
    <row r="45" ht="25.5" customFormat="1" customHeight="1" s="208">
      <c r="A45" s="247" t="n">
        <v>18</v>
      </c>
      <c r="B45" s="149" t="inlineStr">
        <is>
          <t>22.2.01.03-0001</t>
        </is>
      </c>
      <c r="C45" s="254" t="inlineStr">
        <is>
          <t>Изоляторы линейные подвесные стеклянные ПС-120Б</t>
        </is>
      </c>
      <c r="D45" s="247" t="inlineStr">
        <is>
          <t>шт</t>
        </is>
      </c>
      <c r="E45" s="140" t="n">
        <v>3242.54</v>
      </c>
      <c r="F45" s="256" t="n">
        <v>202.55</v>
      </c>
      <c r="G45" s="32">
        <f>ROUND(E45*F45,2)</f>
        <v/>
      </c>
      <c r="H45" s="142">
        <f>G45/$G$50</f>
        <v/>
      </c>
      <c r="I45" s="32">
        <f>ROUND(F45*Прил.10!$D$13,2)</f>
        <v/>
      </c>
      <c r="J45" s="32">
        <f>ROUND(I45*E45,2)</f>
        <v/>
      </c>
    </row>
    <row r="46" ht="25.5" customFormat="1" customHeight="1" s="208">
      <c r="A46" s="247" t="n">
        <v>19</v>
      </c>
      <c r="B46" s="149" t="inlineStr">
        <is>
          <t>22.2.01.03-0002</t>
        </is>
      </c>
      <c r="C46" s="254" t="inlineStr">
        <is>
          <t>Изолятор подвесной стеклянный ПСВ-160А (Прим. Изолятор ПС210В)</t>
        </is>
      </c>
      <c r="D46" s="247" t="inlineStr">
        <is>
          <t>шт</t>
        </is>
      </c>
      <c r="E46" s="140" t="n">
        <v>1501.57</v>
      </c>
      <c r="F46" s="256" t="n">
        <v>284.68</v>
      </c>
      <c r="G46" s="32">
        <f>ROUND(E46*F46,2)</f>
        <v/>
      </c>
      <c r="H46" s="142">
        <f>G46/$G$50</f>
        <v/>
      </c>
      <c r="I46" s="32">
        <f>ROUND(F46*Прил.10!$D$13,2)</f>
        <v/>
      </c>
      <c r="J46" s="32">
        <f>ROUND(I46*E46,2)</f>
        <v/>
      </c>
    </row>
    <row r="47" ht="14.25" customFormat="1" customHeight="1" s="208">
      <c r="A47" s="247" t="n">
        <v>20</v>
      </c>
      <c r="B47" s="149" t="inlineStr">
        <is>
          <t>БЦ.113.16</t>
        </is>
      </c>
      <c r="C47" s="254" t="inlineStr">
        <is>
          <t>Сборные желебетонные подножки, Ф2-А</t>
        </is>
      </c>
      <c r="D47" s="247" t="inlineStr">
        <is>
          <t>м3</t>
        </is>
      </c>
      <c r="E47" s="140" t="n">
        <v>237.24806</v>
      </c>
      <c r="F47" s="256" t="n">
        <v>1597.37</v>
      </c>
      <c r="G47" s="32">
        <f>ROUND(E47*F47,2)</f>
        <v/>
      </c>
      <c r="H47" s="142">
        <f>G47/$G$50</f>
        <v/>
      </c>
      <c r="I47" s="32" t="n">
        <v>56226.42</v>
      </c>
      <c r="J47" s="32">
        <f>ROUND(I47*E47,2)</f>
        <v/>
      </c>
    </row>
    <row r="48" ht="14.25" customFormat="1" customHeight="1" s="208">
      <c r="A48" s="249" t="n"/>
      <c r="B48" s="153" t="n"/>
      <c r="C48" s="154" t="inlineStr">
        <is>
          <t>Итого основные материалы</t>
        </is>
      </c>
      <c r="D48" s="249" t="n"/>
      <c r="E48" s="140" t="n"/>
      <c r="F48" s="145" t="n"/>
      <c r="G48" s="145">
        <f>SUM(G43:G47)</f>
        <v/>
      </c>
      <c r="H48" s="142">
        <f>G48/$G$50</f>
        <v/>
      </c>
      <c r="I48" s="32" t="n"/>
      <c r="J48" s="145">
        <f>SUM(J43:J47)</f>
        <v/>
      </c>
    </row>
    <row r="49" ht="14.25" customFormat="1" customHeight="1" s="208">
      <c r="A49" s="247" t="n"/>
      <c r="B49" s="247" t="n"/>
      <c r="C49" s="254" t="inlineStr">
        <is>
          <t>Итого прочие материалы</t>
        </is>
      </c>
      <c r="D49" s="247" t="n"/>
      <c r="E49" s="255" t="n"/>
      <c r="F49" s="256" t="n"/>
      <c r="G49" s="145" t="n">
        <v>2468059.6303</v>
      </c>
      <c r="H49" s="142">
        <f>G49/$G$50</f>
        <v/>
      </c>
      <c r="I49" s="32" t="n"/>
      <c r="J49" s="145" t="n">
        <v>25342858.8248</v>
      </c>
    </row>
    <row r="50" ht="14.25" customFormat="1" customHeight="1" s="208">
      <c r="A50" s="247" t="n"/>
      <c r="B50" s="247" t="n"/>
      <c r="C50" s="238" t="inlineStr">
        <is>
          <t>Итого по разделу «Материалы»</t>
        </is>
      </c>
      <c r="D50" s="247" t="n"/>
      <c r="E50" s="255" t="n"/>
      <c r="F50" s="256" t="n"/>
      <c r="G50" s="32">
        <f>G48+G49</f>
        <v/>
      </c>
      <c r="H50" s="142">
        <f>G50/$G$50</f>
        <v/>
      </c>
      <c r="I50" s="32" t="n"/>
      <c r="J50" s="32">
        <f>J48+J49</f>
        <v/>
      </c>
    </row>
    <row r="51" ht="14.25" customFormat="1" customHeight="1" s="208">
      <c r="A51" s="247" t="n"/>
      <c r="B51" s="247" t="n"/>
      <c r="C51" s="254" t="inlineStr">
        <is>
          <t>ИТОГО ПО РМ</t>
        </is>
      </c>
      <c r="D51" s="247" t="n"/>
      <c r="E51" s="255" t="n"/>
      <c r="F51" s="256" t="n"/>
      <c r="G51" s="32">
        <f>G14+G34+G50</f>
        <v/>
      </c>
      <c r="H51" s="257" t="n"/>
      <c r="I51" s="32" t="n"/>
      <c r="J51" s="32">
        <f>J14+J34+J50</f>
        <v/>
      </c>
    </row>
    <row r="52" ht="14.25" customFormat="1" customHeight="1" s="208">
      <c r="A52" s="247" t="n"/>
      <c r="B52" s="247" t="n"/>
      <c r="C52" s="254" t="inlineStr">
        <is>
          <t>Накладные расходы</t>
        </is>
      </c>
      <c r="D52" s="147" t="n">
        <v>1.02</v>
      </c>
      <c r="E52" s="255" t="n"/>
      <c r="F52" s="256" t="n"/>
      <c r="G52" s="198">
        <f>D52*($G$14+$G$16)</f>
        <v/>
      </c>
      <c r="H52" s="257" t="n"/>
      <c r="I52" s="32" t="n"/>
      <c r="J52" s="32">
        <f>ROUND(D52*(J14+J16),2)</f>
        <v/>
      </c>
    </row>
    <row r="53" ht="14.25" customFormat="1" customHeight="1" s="208">
      <c r="A53" s="247" t="n"/>
      <c r="B53" s="247" t="n"/>
      <c r="C53" s="254" t="inlineStr">
        <is>
          <t>Сметная прибыль</t>
        </is>
      </c>
      <c r="D53" s="147" t="n">
        <v>0.6</v>
      </c>
      <c r="E53" s="255" t="n"/>
      <c r="F53" s="256" t="n"/>
      <c r="G53" s="198">
        <f>D53*($G$14+$G$16)</f>
        <v/>
      </c>
      <c r="H53" s="257" t="n"/>
      <c r="I53" s="32" t="n"/>
      <c r="J53" s="32">
        <f>ROUND(D53*(J14+J16),2)</f>
        <v/>
      </c>
    </row>
    <row r="54" ht="14.25" customFormat="1" customHeight="1" s="208">
      <c r="A54" s="247" t="n"/>
      <c r="B54" s="247" t="n"/>
      <c r="C54" s="254" t="inlineStr">
        <is>
          <t>Итого СМР (с НР и СП)</t>
        </is>
      </c>
      <c r="D54" s="247" t="n"/>
      <c r="E54" s="255" t="n"/>
      <c r="F54" s="256" t="n"/>
      <c r="G54" s="32">
        <f>G14+G34+G50+G52+G53</f>
        <v/>
      </c>
      <c r="H54" s="257" t="n"/>
      <c r="I54" s="32" t="n"/>
      <c r="J54" s="32">
        <f>J14+J34+J50+J52+J53</f>
        <v/>
      </c>
    </row>
    <row r="55" ht="14.25" customFormat="1" customHeight="1" s="208">
      <c r="A55" s="247" t="n"/>
      <c r="B55" s="247" t="n"/>
      <c r="C55" s="254" t="inlineStr">
        <is>
          <t>ВСЕГО СМР + ОБОРУДОВАНИЕ</t>
        </is>
      </c>
      <c r="D55" s="247" t="n"/>
      <c r="E55" s="255" t="n"/>
      <c r="F55" s="256" t="n"/>
      <c r="G55" s="32">
        <f>G54+G39</f>
        <v/>
      </c>
      <c r="H55" s="257" t="n"/>
      <c r="I55" s="32" t="n"/>
      <c r="J55" s="32">
        <f>J54+J39</f>
        <v/>
      </c>
    </row>
    <row r="56" ht="34.5" customFormat="1" customHeight="1" s="208">
      <c r="A56" s="247" t="n"/>
      <c r="B56" s="247" t="n"/>
      <c r="C56" s="254" t="inlineStr">
        <is>
          <t>ИТОГО ПОКАЗАТЕЛЬ НА ЕД. ИЗМ.</t>
        </is>
      </c>
      <c r="D56" s="247" t="inlineStr">
        <is>
          <t>км</t>
        </is>
      </c>
      <c r="E56" s="146" t="n">
        <v>22.58</v>
      </c>
      <c r="F56" s="256" t="n"/>
      <c r="G56" s="32">
        <f>G55/E56</f>
        <v/>
      </c>
      <c r="H56" s="257" t="n"/>
      <c r="I56" s="32" t="n"/>
      <c r="J56" s="32">
        <f>J55/E56</f>
        <v/>
      </c>
    </row>
    <row r="58" ht="14.25" customFormat="1" customHeight="1" s="208">
      <c r="A58" s="207" t="inlineStr">
        <is>
          <t>Составил ______________________     Е. М. Добровольская</t>
        </is>
      </c>
    </row>
    <row r="59" ht="14.25" customFormat="1" customHeight="1" s="208">
      <c r="A59" s="210" t="inlineStr">
        <is>
          <t xml:space="preserve">                         (подпись, инициалы, фамилия)</t>
        </is>
      </c>
    </row>
    <row r="60" ht="14.25" customFormat="1" customHeight="1" s="208">
      <c r="A60" s="207" t="n"/>
    </row>
    <row r="61" ht="14.25" customFormat="1" customHeight="1" s="208">
      <c r="A61" s="207" t="inlineStr">
        <is>
          <t>Проверил ______________________        А.В. Костянецкая</t>
        </is>
      </c>
    </row>
    <row r="62" ht="14.25" customFormat="1" customHeight="1" s="208">
      <c r="A62" s="210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B41:H41"/>
    <mergeCell ref="A7:H7"/>
    <mergeCell ref="B35:H35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4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D19" sqref="D19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68" t="inlineStr">
        <is>
          <t>Приложение №6</t>
        </is>
      </c>
    </row>
    <row r="2" ht="21.75" customHeight="1" s="201">
      <c r="A2" s="268" t="n"/>
      <c r="B2" s="268" t="n"/>
      <c r="C2" s="268" t="n"/>
      <c r="D2" s="268" t="n"/>
      <c r="E2" s="268" t="n"/>
      <c r="F2" s="268" t="n"/>
      <c r="G2" s="268" t="n"/>
    </row>
    <row r="3">
      <c r="A3" s="214" t="inlineStr">
        <is>
          <t>Расчет стоимости оборудования</t>
        </is>
      </c>
    </row>
    <row r="4" ht="25.5" customHeight="1" s="201">
      <c r="A4" s="217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110(150) кВ.</t>
        </is>
      </c>
    </row>
    <row r="5">
      <c r="A5" s="207" t="n"/>
      <c r="B5" s="207" t="n"/>
      <c r="C5" s="207" t="n"/>
      <c r="D5" s="207" t="n"/>
      <c r="E5" s="207" t="n"/>
      <c r="F5" s="207" t="n"/>
      <c r="G5" s="207" t="n"/>
    </row>
    <row r="6" ht="30" customHeight="1" s="20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47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0" t="n"/>
    </row>
    <row r="7">
      <c r="A7" s="322" t="n"/>
      <c r="B7" s="322" t="n"/>
      <c r="C7" s="322" t="n"/>
      <c r="D7" s="322" t="n"/>
      <c r="E7" s="322" t="n"/>
      <c r="F7" s="247" t="inlineStr">
        <is>
          <t>на ед. изм.</t>
        </is>
      </c>
      <c r="G7" s="247" t="inlineStr">
        <is>
          <t>общая</t>
        </is>
      </c>
    </row>
    <row r="8">
      <c r="A8" s="247" t="n">
        <v>1</v>
      </c>
      <c r="B8" s="247" t="n">
        <v>2</v>
      </c>
      <c r="C8" s="247" t="n">
        <v>3</v>
      </c>
      <c r="D8" s="247" t="n">
        <v>4</v>
      </c>
      <c r="E8" s="247" t="n">
        <v>5</v>
      </c>
      <c r="F8" s="247" t="n">
        <v>6</v>
      </c>
      <c r="G8" s="247" t="n">
        <v>7</v>
      </c>
    </row>
    <row r="9" ht="15" customHeight="1" s="201">
      <c r="A9" s="25" t="n"/>
      <c r="B9" s="254" t="inlineStr">
        <is>
          <t>ИНЖЕНЕРНОЕ ОБОРУДОВАНИЕ</t>
        </is>
      </c>
      <c r="C9" s="319" t="n"/>
      <c r="D9" s="319" t="n"/>
      <c r="E9" s="319" t="n"/>
      <c r="F9" s="319" t="n"/>
      <c r="G9" s="320" t="n"/>
    </row>
    <row r="10" ht="27" customHeight="1" s="201">
      <c r="A10" s="247" t="n"/>
      <c r="B10" s="238" t="n"/>
      <c r="C10" s="254" t="inlineStr">
        <is>
          <t>ИТОГО ИНЖЕНЕРНОЕ ОБОРУДОВАНИЕ</t>
        </is>
      </c>
      <c r="D10" s="238" t="n"/>
      <c r="E10" s="105" t="n"/>
      <c r="F10" s="256" t="n"/>
      <c r="G10" s="256" t="n">
        <v>0</v>
      </c>
    </row>
    <row r="11">
      <c r="A11" s="247" t="n"/>
      <c r="B11" s="254" t="inlineStr">
        <is>
          <t>ТЕХНОЛОГИЧЕСКОЕ ОБОРУДОВАНИЕ</t>
        </is>
      </c>
      <c r="C11" s="319" t="n"/>
      <c r="D11" s="319" t="n"/>
      <c r="E11" s="319" t="n"/>
      <c r="F11" s="319" t="n"/>
      <c r="G11" s="320" t="n"/>
    </row>
    <row r="12" ht="41.25" customHeight="1" s="201">
      <c r="A12" s="247" t="n">
        <v>1</v>
      </c>
      <c r="B12" s="254" t="n"/>
      <c r="C12" s="254" t="n"/>
      <c r="D12" s="247" t="n"/>
      <c r="E12" s="140" t="n"/>
      <c r="F12" s="272" t="n"/>
      <c r="G12" s="32" t="n"/>
    </row>
    <row r="13" ht="25.5" customHeight="1" s="201">
      <c r="A13" s="247" t="n"/>
      <c r="B13" s="254" t="n"/>
      <c r="C13" s="254" t="inlineStr">
        <is>
          <t>ИТОГО ТЕХНОЛОГИЧЕСКОЕ ОБОРУДОВАНИЕ</t>
        </is>
      </c>
      <c r="D13" s="254" t="n"/>
      <c r="E13" s="272" t="n"/>
      <c r="F13" s="256" t="n"/>
      <c r="G13" s="32">
        <f>SUM(G12:G12)</f>
        <v/>
      </c>
    </row>
    <row r="14" ht="19.5" customHeight="1" s="201">
      <c r="A14" s="247" t="n"/>
      <c r="B14" s="254" t="n"/>
      <c r="C14" s="254" t="inlineStr">
        <is>
          <t>Всего по разделу «Оборудование»</t>
        </is>
      </c>
      <c r="D14" s="254" t="n"/>
      <c r="E14" s="272" t="n"/>
      <c r="F14" s="256" t="n"/>
      <c r="G14" s="32">
        <f>G10+G13</f>
        <v/>
      </c>
    </row>
    <row r="15">
      <c r="A15" s="209" t="n"/>
      <c r="B15" s="106" t="n"/>
      <c r="C15" s="209" t="n"/>
      <c r="D15" s="209" t="n"/>
      <c r="E15" s="209" t="n"/>
      <c r="F15" s="209" t="n"/>
      <c r="G15" s="209" t="n"/>
    </row>
    <row r="16">
      <c r="A16" s="207" t="inlineStr">
        <is>
          <t>Составил ______________________    Е. М. Добровольская</t>
        </is>
      </c>
      <c r="B16" s="208" t="n"/>
      <c r="C16" s="208" t="n"/>
      <c r="D16" s="209" t="n"/>
      <c r="E16" s="209" t="n"/>
      <c r="F16" s="209" t="n"/>
      <c r="G16" s="209" t="n"/>
    </row>
    <row r="17">
      <c r="A17" s="210" t="inlineStr">
        <is>
          <t xml:space="preserve">                         (подпись, инициалы, фамилия)</t>
        </is>
      </c>
      <c r="B17" s="208" t="n"/>
      <c r="C17" s="208" t="n"/>
      <c r="D17" s="209" t="n"/>
      <c r="E17" s="209" t="n"/>
      <c r="F17" s="209" t="n"/>
      <c r="G17" s="209" t="n"/>
    </row>
    <row r="18">
      <c r="A18" s="207" t="n"/>
      <c r="B18" s="208" t="n"/>
      <c r="C18" s="208" t="n"/>
      <c r="D18" s="209" t="n"/>
      <c r="E18" s="209" t="n"/>
      <c r="F18" s="209" t="n"/>
      <c r="G18" s="209" t="n"/>
    </row>
    <row r="19">
      <c r="A19" s="207" t="inlineStr">
        <is>
          <t>Проверил ______________________        А.В. Костянецкая</t>
        </is>
      </c>
      <c r="B19" s="208" t="n"/>
      <c r="C19" s="208" t="n"/>
      <c r="D19" s="209" t="n"/>
      <c r="E19" s="209" t="n"/>
      <c r="F19" s="209" t="n"/>
      <c r="G19" s="209" t="n"/>
    </row>
    <row r="20">
      <c r="A20" s="210" t="inlineStr">
        <is>
          <t xml:space="preserve">                        (подпись, инициалы, фамилия)</t>
        </is>
      </c>
      <c r="B20" s="208" t="n"/>
      <c r="C20" s="208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201" min="1" max="1"/>
    <col width="22.42578125" customWidth="1" style="201" min="2" max="2"/>
    <col width="37.140625" customWidth="1" style="201" min="3" max="3"/>
    <col width="49" customWidth="1" style="201" min="4" max="4"/>
    <col width="9.140625" customWidth="1" style="201" min="5" max="5"/>
  </cols>
  <sheetData>
    <row r="1" ht="15.75" customHeight="1" s="201">
      <c r="A1" s="200" t="n"/>
      <c r="B1" s="200" t="n"/>
      <c r="C1" s="200" t="n"/>
      <c r="D1" s="200" t="inlineStr">
        <is>
          <t>Приложение №7</t>
        </is>
      </c>
    </row>
    <row r="2" ht="15.75" customHeight="1" s="201">
      <c r="A2" s="200" t="n"/>
      <c r="B2" s="200" t="n"/>
      <c r="C2" s="200" t="n"/>
      <c r="D2" s="200" t="n"/>
    </row>
    <row r="3" ht="15.75" customHeight="1" s="201">
      <c r="A3" s="200" t="n"/>
      <c r="B3" s="202" t="inlineStr">
        <is>
          <t>Расчет показателя УНЦ</t>
        </is>
      </c>
      <c r="C3" s="200" t="n"/>
      <c r="D3" s="200" t="n"/>
    </row>
    <row r="4" ht="15.75" customHeight="1" s="201">
      <c r="A4" s="200" t="n"/>
      <c r="B4" s="200" t="n"/>
      <c r="C4" s="200" t="n"/>
      <c r="D4" s="200" t="n"/>
    </row>
    <row r="5" ht="47.25" customHeight="1" s="20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1">
      <c r="A6" s="200" t="inlineStr">
        <is>
          <t>Единица измерения  — 1 км</t>
        </is>
      </c>
      <c r="B6" s="200" t="n"/>
      <c r="C6" s="200" t="n"/>
      <c r="D6" s="200" t="n"/>
    </row>
    <row r="7" ht="15.75" customHeight="1" s="201">
      <c r="A7" s="200" t="n"/>
      <c r="B7" s="200" t="n"/>
      <c r="C7" s="200" t="n"/>
      <c r="D7" s="200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22" t="n"/>
      <c r="B9" s="322" t="n"/>
      <c r="C9" s="322" t="n"/>
      <c r="D9" s="322" t="n"/>
    </row>
    <row r="10" ht="15.75" customHeight="1" s="201">
      <c r="A10" s="230" t="n">
        <v>1</v>
      </c>
      <c r="B10" s="230" t="n">
        <v>2</v>
      </c>
      <c r="C10" s="230" t="n">
        <v>3</v>
      </c>
      <c r="D10" s="230" t="n">
        <v>4</v>
      </c>
    </row>
    <row r="11" ht="63" customHeight="1" s="201">
      <c r="A11" s="230" t="inlineStr">
        <is>
          <t>Л1-04-4</t>
        </is>
      </c>
      <c r="B11" s="230" t="inlineStr">
        <is>
          <t>УНЦ ВЛ 0,4 - 750 кВ на строительно-монтажные работы без опор и провода</t>
        </is>
      </c>
      <c r="C11" s="205">
        <f>D5</f>
        <v/>
      </c>
      <c r="D11" s="206">
        <f>'Прил.4 РМ'!C41/1000</f>
        <v/>
      </c>
    </row>
    <row r="13">
      <c r="A13" s="207" t="inlineStr">
        <is>
          <t>Составил ______________________     Е. М. Добровольская</t>
        </is>
      </c>
      <c r="B13" s="208" t="n"/>
      <c r="C13" s="208" t="n"/>
      <c r="D13" s="209" t="n"/>
    </row>
    <row r="14">
      <c r="A14" s="210" t="inlineStr">
        <is>
          <t xml:space="preserve">                         (подпись, инициалы, фамилия)</t>
        </is>
      </c>
      <c r="B14" s="208" t="n"/>
      <c r="C14" s="208" t="n"/>
      <c r="D14" s="209" t="n"/>
    </row>
    <row r="15">
      <c r="A15" s="207" t="n"/>
      <c r="B15" s="208" t="n"/>
      <c r="C15" s="208" t="n"/>
      <c r="D15" s="209" t="n"/>
    </row>
    <row r="16">
      <c r="A16" s="207" t="inlineStr">
        <is>
          <t>Проверил ______________________        А.В. Костянецкая</t>
        </is>
      </c>
      <c r="B16" s="208" t="n"/>
      <c r="C16" s="208" t="n"/>
      <c r="D16" s="209" t="n"/>
    </row>
    <row r="17" ht="20.25" customHeight="1" s="201">
      <c r="A17" s="210" t="inlineStr">
        <is>
          <t xml:space="preserve">                        (подпись, инициалы, фамилия)</t>
        </is>
      </c>
      <c r="B17" s="208" t="n"/>
      <c r="C17" s="208" t="n"/>
      <c r="D17" s="20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5" zoomScale="60" zoomScaleNormal="85" workbookViewId="0">
      <selection activeCell="D24" sqref="D24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21" t="inlineStr">
        <is>
          <t>Приложение № 10</t>
        </is>
      </c>
    </row>
    <row r="5" ht="18.75" customHeight="1" s="201">
      <c r="B5" s="132" t="n"/>
    </row>
    <row r="6" ht="15.75" customHeight="1" s="201">
      <c r="B6" s="222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 s="201">
      <c r="B10" s="230" t="n">
        <v>1</v>
      </c>
      <c r="C10" s="230" t="n">
        <v>2</v>
      </c>
      <c r="D10" s="230" t="n">
        <v>3</v>
      </c>
    </row>
    <row r="11" ht="45" customHeight="1" s="20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46.83</v>
      </c>
    </row>
    <row r="12" ht="29.25" customHeight="1" s="20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11.96</v>
      </c>
    </row>
    <row r="13" ht="29.25" customHeight="1" s="20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9.84</v>
      </c>
    </row>
    <row r="14" ht="30.75" customHeight="1" s="20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89.25" customHeight="1" s="201">
      <c r="B15" s="230" t="inlineStr">
        <is>
          <t>Временные здания и сооружения</t>
        </is>
      </c>
      <c r="C15" s="23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4" t="n">
        <v>0.033</v>
      </c>
    </row>
    <row r="16" ht="78.75" customHeight="1" s="20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4" t="n">
        <v>0.01</v>
      </c>
    </row>
    <row r="17" ht="31.5" customHeight="1" s="20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34" t="n">
        <v>0.0214</v>
      </c>
    </row>
    <row r="18" ht="31.5" customHeight="1" s="20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34" t="n">
        <v>0.002</v>
      </c>
    </row>
    <row r="19" ht="24" customHeight="1" s="20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34" t="n">
        <v>0.03</v>
      </c>
    </row>
    <row r="20" ht="18.75" customHeight="1" s="201">
      <c r="B20" s="133" t="n"/>
    </row>
    <row r="21" ht="18.75" customHeight="1" s="201">
      <c r="B21" s="133" t="n"/>
    </row>
    <row r="22" ht="18.75" customHeight="1" s="201">
      <c r="B22" s="133" t="n"/>
    </row>
    <row r="23" ht="18.75" customHeight="1" s="201">
      <c r="B23" s="133" t="n"/>
    </row>
    <row r="26">
      <c r="B26" s="207" t="inlineStr">
        <is>
          <t>Составил ______________________        Е.А. Князева</t>
        </is>
      </c>
      <c r="C26" s="208" t="n"/>
    </row>
    <row r="27">
      <c r="B27" s="210" t="inlineStr">
        <is>
          <t xml:space="preserve">                         (подпись, инициалы, фамилия)</t>
        </is>
      </c>
      <c r="C27" s="208" t="n"/>
    </row>
    <row r="28">
      <c r="B28" s="207" t="n"/>
      <c r="C28" s="208" t="n"/>
    </row>
    <row r="29">
      <c r="B29" s="207" t="inlineStr">
        <is>
          <t>Проверил ______________________        А.В. Костянецкая</t>
        </is>
      </c>
      <c r="C29" s="208" t="n"/>
    </row>
    <row r="30">
      <c r="B30" s="210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8" sqref="J8"/>
    </sheetView>
  </sheetViews>
  <sheetFormatPr baseColWidth="8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2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117" t="inlineStr">
        <is>
          <t>Составлен в уровне цен на 01.01.2023 г.</t>
        </is>
      </c>
      <c r="B4" s="200" t="n"/>
      <c r="C4" s="200" t="n"/>
      <c r="D4" s="200" t="n"/>
      <c r="E4" s="200" t="n"/>
      <c r="F4" s="200" t="n"/>
      <c r="G4" s="200" t="n"/>
    </row>
    <row r="5" ht="15.75" customHeight="1" s="201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200" t="n"/>
    </row>
    <row r="6" ht="15.75" customHeight="1" s="201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200" t="n"/>
    </row>
    <row r="7" ht="110.25" customHeight="1" s="201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206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0" t="n"/>
    </row>
    <row r="8" ht="31.5" customHeight="1" s="201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206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201">
      <c r="A9" s="120" t="inlineStr">
        <is>
          <t>1.3</t>
        </is>
      </c>
      <c r="B9" s="121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206" t="n">
        <v>1</v>
      </c>
      <c r="F9" s="121" t="n"/>
      <c r="G9" s="124" t="n"/>
    </row>
    <row r="10" ht="15.75" customHeight="1" s="201">
      <c r="A10" s="120" t="inlineStr">
        <is>
          <t>1.4</t>
        </is>
      </c>
      <c r="B10" s="121" t="inlineStr">
        <is>
          <t>Средний разряд работ</t>
        </is>
      </c>
      <c r="C10" s="230" t="n"/>
      <c r="D10" s="230" t="n"/>
      <c r="E10" s="125" t="n">
        <v>4.1</v>
      </c>
      <c r="F10" s="121" t="inlineStr">
        <is>
          <t>РТМ</t>
        </is>
      </c>
      <c r="G10" s="124" t="n"/>
    </row>
    <row r="11" ht="78.75" customHeight="1" s="201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126" t="n">
        <v>1.359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0" t="n"/>
    </row>
    <row r="12" ht="78.75" customHeight="1" s="201">
      <c r="A12" s="120" t="inlineStr">
        <is>
          <t>1.6</t>
        </is>
      </c>
      <c r="B12" s="127" t="inlineStr">
        <is>
          <t>Коэффициент инфляции, определяемый поквартально</t>
        </is>
      </c>
      <c r="C12" s="230" t="inlineStr">
        <is>
          <t>Кинф</t>
        </is>
      </c>
      <c r="D12" s="230" t="inlineStr">
        <is>
          <t>-</t>
        </is>
      </c>
      <c r="E12" s="128" t="n">
        <v>1.139</v>
      </c>
      <c r="F12" s="12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n"/>
    </row>
    <row r="13" ht="63" customHeight="1" s="201">
      <c r="A13" s="120" t="inlineStr">
        <is>
          <t>1.7</t>
        </is>
      </c>
      <c r="B13" s="130" t="inlineStr">
        <is>
          <t>Размер средств на оплату труда рабочих-строителей в текущем уровне цен (ФОТр.тек.), руб/чел.-ч</t>
        </is>
      </c>
      <c r="C13" s="230" t="inlineStr">
        <is>
          <t>ФОТр.тек.</t>
        </is>
      </c>
      <c r="D13" s="230" t="inlineStr">
        <is>
          <t>(С1ср/tср*КТ*Т*Кув)*Кинф</t>
        </is>
      </c>
      <c r="E13" s="131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2025-01-24T12:09:36Z</dcterms:modified>
  <cp:lastModifiedBy>REDMIBOOK</cp:lastModifiedBy>
  <cp:lastPrinted>2023-11-29T08:26:18Z</cp:lastPrinted>
</cp:coreProperties>
</file>