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'Прил.3'!$A$1:$H$164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26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b val="1"/>
      <color rgb="FF000000"/>
      <sz val="10"/>
      <u val="single"/>
    </font>
    <font>
      <name val="Times New Roman"/>
      <strike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imes New Roman"/>
      <b val="1"/>
      <color rgb="FF000000"/>
      <sz val="10"/>
    </font>
    <font>
      <name val="Times New Roman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166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6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70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8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49" fontId="9" fillId="0" borderId="1" applyAlignment="1" pivotButton="0" quotePrefix="0" xfId="0">
      <alignment vertical="top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/>
    </xf>
    <xf numFmtId="166" fontId="9" fillId="0" borderId="1" applyAlignment="1" pivotButton="0" quotePrefix="0" xfId="0">
      <alignment horizontal="right" vertical="center"/>
    </xf>
    <xf numFmtId="0" fontId="9" fillId="0" borderId="1" applyAlignment="1" pivotButton="0" quotePrefix="1" xfId="0">
      <alignment horizontal="center" vertical="center"/>
    </xf>
    <xf numFmtId="166" fontId="13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4" fontId="16" fillId="0" borderId="2" applyAlignment="1" pivotButton="0" quotePrefix="0" xfId="0">
      <alignment horizontal="right" vertical="center" wrapText="1"/>
    </xf>
    <xf numFmtId="10" fontId="16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4" fontId="13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6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6" zoomScale="60" zoomScaleNormal="85" workbookViewId="0">
      <selection activeCell="D26" sqref="D26"/>
    </sheetView>
  </sheetViews>
  <sheetFormatPr baseColWidth="8" defaultRowHeight="15.75"/>
  <cols>
    <col width="9.140625" customWidth="1" style="153" min="1" max="2"/>
    <col width="36.85546875" customWidth="1" style="153" min="3" max="3"/>
    <col width="36.5703125" customWidth="1" style="153" min="4" max="4"/>
    <col hidden="1" width="36.5703125" customWidth="1" style="153" min="5" max="6"/>
    <col width="14.28515625" customWidth="1" style="209" min="7" max="7"/>
    <col width="12.140625" customWidth="1" style="209" min="8" max="8"/>
    <col width="12.28515625" customWidth="1" style="209" min="9" max="9"/>
    <col width="15" customWidth="1" style="209" min="10" max="10"/>
    <col width="9.140625" customWidth="1" style="209" min="11" max="11"/>
  </cols>
  <sheetData>
    <row r="1">
      <c r="G1" s="153" t="n"/>
      <c r="H1" s="153" t="n"/>
      <c r="I1" s="153" t="n"/>
      <c r="J1" s="153" t="n"/>
      <c r="K1" s="153" t="n"/>
    </row>
    <row r="2">
      <c r="G2" s="153" t="n"/>
      <c r="H2" s="153" t="n"/>
      <c r="I2" s="153" t="n"/>
      <c r="J2" s="153" t="n"/>
      <c r="K2" s="153" t="n"/>
    </row>
    <row r="3">
      <c r="B3" s="250" t="inlineStr">
        <is>
          <t>Приложение № 1</t>
        </is>
      </c>
      <c r="G3" s="153" t="n"/>
      <c r="H3" s="153" t="n"/>
      <c r="I3" s="153" t="n"/>
      <c r="J3" s="153" t="n"/>
      <c r="K3" s="153" t="n"/>
    </row>
    <row r="4">
      <c r="B4" s="251" t="inlineStr">
        <is>
          <t>Сравнительная таблица отбора объекта-представителя</t>
        </is>
      </c>
      <c r="G4" s="153" t="n"/>
      <c r="H4" s="153" t="n"/>
      <c r="I4" s="153" t="n"/>
      <c r="J4" s="153" t="n"/>
      <c r="K4" s="153" t="n"/>
    </row>
    <row r="5">
      <c r="B5" s="124" t="n"/>
      <c r="C5" s="124" t="n"/>
      <c r="D5" s="124" t="n"/>
      <c r="E5" s="124" t="n"/>
      <c r="F5" s="124" t="n"/>
      <c r="G5" s="153" t="n"/>
      <c r="H5" s="153" t="n"/>
      <c r="I5" s="153" t="n"/>
      <c r="J5" s="153" t="n"/>
      <c r="K5" s="153" t="n"/>
    </row>
    <row r="6">
      <c r="B6" s="124" t="n"/>
      <c r="C6" s="124" t="n"/>
      <c r="D6" s="124" t="n"/>
      <c r="E6" s="124" t="n"/>
      <c r="F6" s="124" t="n"/>
      <c r="G6" s="153" t="n"/>
      <c r="H6" s="153" t="n"/>
      <c r="I6" s="153" t="n"/>
      <c r="J6" s="153" t="n"/>
      <c r="K6" s="153" t="n"/>
    </row>
    <row r="7" ht="59.25" customHeight="1" s="209">
      <c r="B7" s="249">
        <f>CONCATENATE(TEXT('Прил.5 Расчет СМР и ОБ'!A6,0)," - ",TEXT('Прил.5 Расчет СМР и ОБ'!D6,0))</f>
        <v/>
      </c>
      <c r="G7" s="125" t="n"/>
      <c r="H7" s="153" t="n"/>
      <c r="I7" s="153" t="n"/>
      <c r="J7" s="153" t="n"/>
      <c r="K7" s="153" t="n"/>
    </row>
    <row r="8" ht="15.75" customHeight="1" s="209">
      <c r="B8" s="159" t="inlineStr">
        <is>
          <t xml:space="preserve">Сопоставимый уровень цен: </t>
        </is>
      </c>
      <c r="C8" s="159" t="n"/>
      <c r="D8" s="159">
        <f>D22</f>
        <v/>
      </c>
      <c r="E8" s="159" t="n"/>
      <c r="F8" s="159" t="n"/>
      <c r="G8" s="153" t="n"/>
      <c r="H8" s="153" t="n"/>
      <c r="I8" s="153" t="n"/>
      <c r="J8" s="153" t="n"/>
      <c r="K8" s="153" t="n"/>
    </row>
    <row r="9" ht="15.75" customHeight="1" s="209">
      <c r="B9" s="249" t="inlineStr">
        <is>
          <t>Единица измерения  — 1 км</t>
        </is>
      </c>
      <c r="G9" s="125" t="n"/>
      <c r="H9" s="153" t="n"/>
      <c r="I9" s="153" t="n"/>
      <c r="J9" s="153" t="n"/>
      <c r="K9" s="153" t="n"/>
    </row>
    <row r="10">
      <c r="B10" s="249" t="n"/>
      <c r="G10" s="153" t="n"/>
      <c r="H10" s="153" t="n"/>
      <c r="I10" s="153" t="n"/>
      <c r="J10" s="153" t="n"/>
      <c r="K10" s="153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>Объект-представитель 1</t>
        </is>
      </c>
      <c r="E11" s="254" t="inlineStr">
        <is>
          <t>Объект-представитель 2</t>
        </is>
      </c>
      <c r="F11" s="254" t="inlineStr">
        <is>
          <t>Объект-представитель 3</t>
        </is>
      </c>
      <c r="G11" s="125" t="n"/>
      <c r="H11" s="153" t="n"/>
      <c r="I11" s="153" t="n"/>
      <c r="J11" s="153" t="n"/>
      <c r="K11" s="153" t="n"/>
    </row>
    <row r="12" ht="63" customHeight="1" s="209">
      <c r="B12" s="254" t="n">
        <v>1</v>
      </c>
      <c r="C12" s="226" t="inlineStr">
        <is>
          <t>Наименование объекта-представителя</t>
        </is>
      </c>
      <c r="D12" s="254" t="inlineStr">
        <is>
          <t>Комплексная реконструкция ВЛ 220кВ Волга – Заливская с реконструкцией ПС 220 кВ Заливская</t>
        </is>
      </c>
      <c r="E12" s="254" t="n"/>
      <c r="F12" s="254" t="n"/>
      <c r="G12" s="153" t="n"/>
      <c r="H12" s="153" t="n"/>
      <c r="I12" s="153" t="n"/>
      <c r="J12" s="153" t="n"/>
      <c r="K12" s="153" t="n"/>
    </row>
    <row r="13" ht="31.5" customHeight="1" s="209">
      <c r="B13" s="254" t="n">
        <v>2</v>
      </c>
      <c r="C13" s="226" t="inlineStr">
        <is>
          <t>Наименование субъекта Российской Федерации</t>
        </is>
      </c>
      <c r="D13" s="254" t="inlineStr">
        <is>
          <t>Волгоградская область</t>
        </is>
      </c>
      <c r="E13" s="254" t="n"/>
      <c r="F13" s="254" t="n"/>
      <c r="G13" s="153" t="n"/>
      <c r="H13" s="153" t="n"/>
      <c r="I13" s="153" t="n"/>
      <c r="J13" s="153" t="n"/>
      <c r="K13" s="153" t="n"/>
    </row>
    <row r="14">
      <c r="B14" s="254" t="n">
        <v>3</v>
      </c>
      <c r="C14" s="226" t="inlineStr">
        <is>
          <t>Климатический район и подрайон</t>
        </is>
      </c>
      <c r="D14" s="254" t="inlineStr">
        <is>
          <t>IIIВ</t>
        </is>
      </c>
      <c r="E14" s="254" t="n"/>
      <c r="F14" s="254" t="n"/>
      <c r="G14" s="153" t="n"/>
      <c r="H14" s="153" t="n"/>
      <c r="I14" s="153" t="n"/>
      <c r="J14" s="153" t="n"/>
      <c r="K14" s="153" t="n"/>
    </row>
    <row r="15">
      <c r="B15" s="254" t="n">
        <v>4</v>
      </c>
      <c r="C15" s="226" t="inlineStr">
        <is>
          <t>Мощность объекта</t>
        </is>
      </c>
      <c r="D15" s="254" t="n">
        <v>133.68</v>
      </c>
      <c r="E15" s="254" t="n">
        <v>4</v>
      </c>
      <c r="F15" s="254" t="n">
        <v>3</v>
      </c>
      <c r="G15" s="153" t="n"/>
      <c r="H15" s="153" t="n"/>
      <c r="I15" s="153" t="n"/>
      <c r="J15" s="153" t="n"/>
      <c r="K15" s="153" t="n"/>
    </row>
    <row r="16" ht="100.5" customHeight="1" s="209">
      <c r="B16" s="254" t="n">
        <v>5</v>
      </c>
      <c r="C16" s="12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5" t="inlineStr">
        <is>
          <t>683
Сваи оболочки - 663 шт;
Арматурный карказ (фундаменты из ж/б колец) - 20 шт</t>
        </is>
      </c>
      <c r="E16" s="254" t="n"/>
      <c r="F16" s="254" t="n"/>
      <c r="G16" s="153" t="n"/>
      <c r="H16" s="153" t="n"/>
      <c r="I16" s="153" t="n"/>
      <c r="J16" s="153" t="n"/>
      <c r="K16" s="153" t="n"/>
    </row>
    <row r="17" ht="82.5" customHeight="1" s="209">
      <c r="B17" s="254" t="n">
        <v>6</v>
      </c>
      <c r="C17" s="12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4">
        <f>SUM(D18:D21)</f>
        <v/>
      </c>
      <c r="E17" s="164" t="n"/>
      <c r="F17" s="164" t="n"/>
      <c r="G17" s="128" t="n"/>
      <c r="H17" s="153" t="n"/>
      <c r="I17" s="153" t="n"/>
      <c r="J17" s="153" t="n"/>
      <c r="K17" s="153" t="n"/>
    </row>
    <row r="18">
      <c r="B18" s="129" t="inlineStr">
        <is>
          <t>6.1</t>
        </is>
      </c>
      <c r="C18" s="226" t="inlineStr">
        <is>
          <t>строительно-монтажные работы</t>
        </is>
      </c>
      <c r="D18" s="164">
        <f>'Прил.2 Расч стоим'!F14+'Прил.2 Расч стоим'!G14</f>
        <v/>
      </c>
      <c r="E18" s="164" t="n"/>
      <c r="F18" s="164" t="n"/>
      <c r="G18" s="153" t="n"/>
      <c r="H18" s="153" t="n"/>
      <c r="I18" s="153" t="n"/>
      <c r="J18" s="153" t="n"/>
      <c r="K18" s="153" t="n"/>
    </row>
    <row r="19">
      <c r="B19" s="129" t="inlineStr">
        <is>
          <t>6.2</t>
        </is>
      </c>
      <c r="C19" s="226" t="inlineStr">
        <is>
          <t>оборудование и инвентарь</t>
        </is>
      </c>
      <c r="D19" s="164">
        <f>'Прил.2 Расч стоим'!H14</f>
        <v/>
      </c>
      <c r="E19" s="164" t="n"/>
      <c r="F19" s="164" t="n"/>
      <c r="G19" s="153" t="n"/>
      <c r="H19" s="153" t="n"/>
      <c r="I19" s="153" t="n"/>
      <c r="J19" s="153" t="n"/>
      <c r="K19" s="153" t="n"/>
    </row>
    <row r="20">
      <c r="B20" s="129" t="inlineStr">
        <is>
          <t>6.3</t>
        </is>
      </c>
      <c r="C20" s="226" t="inlineStr">
        <is>
          <t>пусконаладочные работы</t>
        </is>
      </c>
      <c r="D20" s="164" t="n">
        <v>0</v>
      </c>
      <c r="E20" s="164" t="n"/>
      <c r="F20" s="164" t="n"/>
      <c r="G20" s="153" t="n"/>
      <c r="H20" s="153" t="n"/>
      <c r="I20" s="153" t="n"/>
      <c r="J20" s="153" t="n"/>
      <c r="K20" s="153" t="n"/>
    </row>
    <row r="21">
      <c r="B21" s="129" t="inlineStr">
        <is>
          <t>6.4</t>
        </is>
      </c>
      <c r="C21" s="130" t="inlineStr">
        <is>
          <t>прочие и лимитированные затраты</t>
        </is>
      </c>
      <c r="D21" s="164">
        <f>'Прил.2 Расч стоим'!I15</f>
        <v/>
      </c>
      <c r="E21" s="164" t="n"/>
      <c r="F21" s="164" t="n"/>
      <c r="G21" s="153" t="n"/>
      <c r="H21" s="153" t="n"/>
      <c r="I21" s="153" t="n"/>
      <c r="J21" s="153" t="n"/>
      <c r="K21" s="153" t="n"/>
    </row>
    <row r="22">
      <c r="B22" s="254" t="n">
        <v>7</v>
      </c>
      <c r="C22" s="130" t="inlineStr">
        <is>
          <t>Сопоставимый уровень цен</t>
        </is>
      </c>
      <c r="D22" s="254" t="inlineStr">
        <is>
          <t>3 кв. 2019г</t>
        </is>
      </c>
      <c r="E22" s="254" t="n"/>
      <c r="F22" s="254" t="n"/>
      <c r="G22" s="128" t="n"/>
      <c r="H22" s="153" t="n"/>
      <c r="I22" s="153" t="n"/>
      <c r="J22" s="153" t="n"/>
      <c r="K22" s="153" t="n"/>
    </row>
    <row r="23" ht="119.25" customHeight="1" s="209">
      <c r="A23" s="153" t="n"/>
      <c r="B23" s="254" t="n">
        <v>8</v>
      </c>
      <c r="C23" s="1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4">
        <f>D17</f>
        <v/>
      </c>
      <c r="E23" s="164" t="n"/>
      <c r="F23" s="164" t="n"/>
      <c r="G23" s="153" t="n"/>
      <c r="H23" s="153" t="n"/>
      <c r="I23" s="153" t="n"/>
      <c r="J23" s="153" t="n"/>
      <c r="K23" s="153" t="n"/>
    </row>
    <row r="24" ht="47.25" customHeight="1" s="209">
      <c r="B24" s="254" t="n">
        <v>9</v>
      </c>
      <c r="C24" s="127" t="inlineStr">
        <is>
          <t>Приведенная сметная стоимость на единицу мощности, тыс. руб. (строка 8/строку 4)</t>
        </is>
      </c>
      <c r="D24" s="164">
        <f>D23/D15</f>
        <v/>
      </c>
      <c r="E24" s="164" t="n"/>
      <c r="F24" s="164" t="n"/>
      <c r="G24" s="128" t="n"/>
      <c r="H24" s="153" t="n"/>
      <c r="I24" s="153" t="n"/>
      <c r="J24" s="153" t="n"/>
      <c r="K24" s="153" t="n"/>
    </row>
    <row r="25" hidden="1" ht="47.25" customHeight="1" s="209">
      <c r="B25" s="254" t="n">
        <v>10</v>
      </c>
      <c r="C25" s="226" t="inlineStr">
        <is>
          <t>Примечание</t>
        </is>
      </c>
      <c r="D25" s="226" t="n"/>
      <c r="E25" s="141" t="n"/>
      <c r="F25" s="226" t="inlineStr">
        <is>
          <t xml:space="preserve">Выбран объектом-представителем с учетом минимальной удельной стоимости </t>
        </is>
      </c>
      <c r="G25" s="153" t="n"/>
      <c r="H25" s="153" t="n"/>
      <c r="I25" s="153" t="n"/>
      <c r="J25" s="153" t="n"/>
      <c r="K25" s="153" t="n"/>
    </row>
    <row r="26">
      <c r="B26" s="285" t="n"/>
      <c r="C26" s="132" t="n"/>
      <c r="D26" s="132" t="n"/>
      <c r="E26" s="132" t="n"/>
      <c r="F26" s="132" t="n"/>
      <c r="G26" s="153" t="n"/>
      <c r="H26" s="153" t="n"/>
      <c r="I26" s="153" t="n"/>
      <c r="J26" s="153" t="n"/>
      <c r="K26" s="153" t="n"/>
    </row>
    <row r="27">
      <c r="B27" s="159" t="n"/>
      <c r="G27" s="153" t="n"/>
      <c r="H27" s="153" t="n"/>
      <c r="I27" s="153" t="n"/>
      <c r="J27" s="153" t="n"/>
      <c r="K27" s="153" t="n"/>
    </row>
    <row r="28">
      <c r="B28" s="153" t="inlineStr">
        <is>
          <t>Составил ______________________        Е.А. Князева</t>
        </is>
      </c>
      <c r="G28" s="153" t="n"/>
      <c r="H28" s="153" t="n"/>
      <c r="I28" s="153" t="n"/>
      <c r="J28" s="153" t="n"/>
      <c r="K28" s="153" t="n"/>
    </row>
    <row r="29" ht="22.5" customHeight="1" s="209">
      <c r="B29" s="142" t="inlineStr">
        <is>
          <t xml:space="preserve">                         (подпись, инициалы, фамилия)</t>
        </is>
      </c>
      <c r="G29" s="153" t="n"/>
      <c r="H29" s="153" t="n"/>
      <c r="I29" s="153" t="n"/>
      <c r="J29" s="153" t="n"/>
      <c r="K29" s="153" t="n"/>
    </row>
    <row r="30">
      <c r="G30" s="153" t="n"/>
      <c r="H30" s="153" t="n"/>
      <c r="I30" s="153" t="n"/>
      <c r="J30" s="153" t="n"/>
      <c r="K30" s="153" t="n"/>
    </row>
    <row r="31">
      <c r="B31" s="153" t="inlineStr">
        <is>
          <t>Проверил ______________________        А.В. Костянецкая</t>
        </is>
      </c>
      <c r="G31" s="153" t="n"/>
      <c r="H31" s="153" t="n"/>
      <c r="I31" s="153" t="n"/>
      <c r="J31" s="153" t="n"/>
      <c r="K31" s="153" t="n"/>
    </row>
    <row r="32" ht="22.5" customHeight="1" s="209">
      <c r="B32" s="142" t="inlineStr">
        <is>
          <t xml:space="preserve">                        (подпись, инициалы, фамилия)</t>
        </is>
      </c>
      <c r="G32" s="153" t="n"/>
      <c r="H32" s="153" t="n"/>
      <c r="I32" s="153" t="n"/>
      <c r="J32" s="153" t="n"/>
      <c r="K32" s="153" t="n"/>
    </row>
    <row r="33">
      <c r="G33" s="153" t="n"/>
      <c r="H33" s="153" t="n"/>
      <c r="I33" s="153" t="n"/>
      <c r="J33" s="153" t="n"/>
      <c r="K33" s="153" t="n"/>
    </row>
    <row r="34">
      <c r="G34" s="153" t="n"/>
      <c r="H34" s="153" t="n"/>
      <c r="I34" s="153" t="n"/>
      <c r="J34" s="153" t="n"/>
      <c r="K34" s="15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4"/>
  <sheetViews>
    <sheetView view="pageBreakPreview" zoomScale="60" zoomScaleNormal="100" workbookViewId="0">
      <selection activeCell="G29" sqref="G29"/>
    </sheetView>
  </sheetViews>
  <sheetFormatPr baseColWidth="8" defaultRowHeight="1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4.85546875" customWidth="1" style="209" min="6" max="6"/>
    <col width="17.42578125" customWidth="1" style="209" min="7" max="7"/>
    <col width="16.7109375" customWidth="1" style="209" min="8" max="8"/>
    <col width="13" customWidth="1" style="209" min="9" max="9"/>
    <col width="15.5703125" customWidth="1" style="209" min="10" max="10"/>
    <col width="9.140625" customWidth="1" style="209" min="11" max="11"/>
  </cols>
  <sheetData>
    <row r="1" ht="15.75" customHeight="1" s="209">
      <c r="A1" s="153" t="n"/>
      <c r="B1" s="153" t="n"/>
      <c r="C1" s="153" t="n"/>
      <c r="D1" s="153" t="n"/>
      <c r="E1" s="153" t="n"/>
      <c r="F1" s="153" t="n"/>
      <c r="G1" s="153" t="n"/>
      <c r="H1" s="153" t="n"/>
      <c r="I1" s="153" t="n"/>
      <c r="J1" s="153" t="n"/>
    </row>
    <row r="2" ht="15.75" customHeight="1" s="209">
      <c r="A2" s="153" t="n"/>
      <c r="B2" s="153" t="n"/>
      <c r="C2" s="153" t="n"/>
      <c r="D2" s="153" t="n"/>
      <c r="E2" s="153" t="n"/>
      <c r="F2" s="153" t="n"/>
      <c r="G2" s="153" t="n"/>
      <c r="H2" s="153" t="n"/>
      <c r="I2" s="153" t="n"/>
      <c r="J2" s="153" t="n"/>
    </row>
    <row r="3" ht="15.75" customHeight="1" s="209">
      <c r="A3" s="153" t="n"/>
      <c r="B3" s="250" t="inlineStr">
        <is>
          <t>Приложение № 2</t>
        </is>
      </c>
    </row>
    <row r="4" ht="15.75" customHeight="1" s="209">
      <c r="A4" s="153" t="n"/>
      <c r="B4" s="251" t="inlineStr">
        <is>
          <t>Расчет стоимости основных видов работ для выбора объекта-представителя</t>
        </is>
      </c>
    </row>
    <row r="5" ht="15.75" customHeight="1" s="209">
      <c r="A5" s="153" t="n"/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43.5" customHeight="1" s="209">
      <c r="A6" s="153" t="n"/>
      <c r="B6" s="252">
        <f>'Прил.1 Сравнит табл'!B7</f>
        <v/>
      </c>
    </row>
    <row r="7" ht="15.75" customHeight="1" s="209">
      <c r="A7" s="153" t="n"/>
      <c r="B7" s="249">
        <f>'Прил.1 Сравнит табл'!B9</f>
        <v/>
      </c>
    </row>
    <row r="8" ht="15.75" customHeight="1" s="209">
      <c r="A8" s="153" t="n"/>
      <c r="B8" s="249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15.75" customHeight="1" s="209">
      <c r="A9" s="153" t="n"/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288" t="n"/>
      <c r="F9" s="288" t="n"/>
      <c r="G9" s="288" t="n"/>
      <c r="H9" s="288" t="n"/>
      <c r="I9" s="288" t="n"/>
      <c r="J9" s="289" t="n"/>
    </row>
    <row r="10" ht="15.75" customHeight="1" s="209">
      <c r="A10" s="153" t="n"/>
      <c r="B10" s="290" t="n"/>
      <c r="C10" s="290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2019 г., тыс. руб.</t>
        </is>
      </c>
      <c r="G10" s="288" t="n"/>
      <c r="H10" s="288" t="n"/>
      <c r="I10" s="288" t="n"/>
      <c r="J10" s="289" t="n"/>
    </row>
    <row r="11" ht="69.75" customHeight="1" s="209">
      <c r="A11" s="153" t="n"/>
      <c r="B11" s="291" t="n"/>
      <c r="C11" s="291" t="n"/>
      <c r="D11" s="291" t="n"/>
      <c r="E11" s="291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 s="209">
      <c r="A12" s="153" t="n"/>
      <c r="B12" s="141" t="n">
        <v>1</v>
      </c>
      <c r="C12" s="255">
        <f>'Прил.1 Сравнит табл'!D16</f>
        <v/>
      </c>
      <c r="D12" s="221" t="inlineStr">
        <is>
          <t>02-10-01</t>
        </is>
      </c>
      <c r="E12" s="226" t="inlineStr">
        <is>
          <t>Устройство фундаментов ВЛ 220 Волга-Заливская</t>
        </is>
      </c>
      <c r="F12" s="220">
        <f>42852.37424*7.27</f>
        <v/>
      </c>
      <c r="G12" s="220">
        <f>L12*L13+M12*M13+N12*N13</f>
        <v/>
      </c>
      <c r="H12" s="220">
        <f>O12*O13</f>
        <v/>
      </c>
      <c r="I12" s="220" t="n"/>
      <c r="J12" s="223">
        <f>SUM(F12:I12)</f>
        <v/>
      </c>
    </row>
    <row r="13" ht="15.75" customHeight="1" s="209">
      <c r="A13" s="153" t="n"/>
      <c r="B13" s="141" t="n">
        <v>2</v>
      </c>
      <c r="C13" s="290" t="n"/>
      <c r="D13" s="221" t="inlineStr">
        <is>
          <t>02-10-03</t>
        </is>
      </c>
      <c r="E13" s="226" t="inlineStr">
        <is>
          <t xml:space="preserve">Монтаж провода </t>
        </is>
      </c>
      <c r="F13" s="220">
        <f>27677.80062*7.27</f>
        <v/>
      </c>
      <c r="G13" s="220" t="n">
        <v>0</v>
      </c>
      <c r="H13" s="220" t="n">
        <v>0</v>
      </c>
      <c r="I13" s="220" t="n"/>
      <c r="J13" s="223">
        <f>SUM(F13:I13)</f>
        <v/>
      </c>
    </row>
    <row r="14" ht="15" customHeight="1" s="209">
      <c r="A14" s="153" t="n"/>
      <c r="B14" s="253" t="inlineStr">
        <is>
          <t>Всего по объекту:</t>
        </is>
      </c>
      <c r="C14" s="288" t="n"/>
      <c r="D14" s="288" t="n"/>
      <c r="E14" s="289" t="n"/>
      <c r="F14" s="224">
        <f>SUM(F12:F13)</f>
        <v/>
      </c>
      <c r="G14" s="224">
        <f>SUM(G12:G13)</f>
        <v/>
      </c>
      <c r="H14" s="224">
        <f>SUM(H12:H13)</f>
        <v/>
      </c>
      <c r="I14" s="224" t="n"/>
      <c r="J14" s="224">
        <f>SUM(F14:I14)</f>
        <v/>
      </c>
    </row>
    <row r="15" ht="15.75" customHeight="1" s="209">
      <c r="A15" s="153" t="n"/>
      <c r="B15" s="253" t="inlineStr">
        <is>
          <t>Всего по объекту в сопоставимом уровне цен 3 кв. 2019г:</t>
        </is>
      </c>
      <c r="C15" s="288" t="n"/>
      <c r="D15" s="288" t="n"/>
      <c r="E15" s="289" t="n"/>
      <c r="F15" s="224">
        <f>F14</f>
        <v/>
      </c>
      <c r="G15" s="224">
        <f>G14</f>
        <v/>
      </c>
      <c r="H15" s="224">
        <f>H14</f>
        <v/>
      </c>
      <c r="I15" s="224">
        <f>(F15+G15)*3.3%*0.8+((F15+G15)*3.3%*0.8+F15+G15)*1%*0.9</f>
        <v/>
      </c>
      <c r="J15" s="224">
        <f>SUM(F15:I15)</f>
        <v/>
      </c>
    </row>
    <row r="16" ht="15.75" customHeight="1" s="209">
      <c r="A16" s="153" t="n"/>
      <c r="B16" s="249" t="n"/>
      <c r="C16" s="153" t="n"/>
      <c r="D16" s="153" t="n"/>
      <c r="E16" s="153" t="n"/>
      <c r="F16" s="153" t="n"/>
      <c r="G16" s="153" t="n"/>
      <c r="H16" s="153" t="n"/>
      <c r="I16" s="153" t="n"/>
      <c r="J16" s="153" t="n"/>
    </row>
    <row r="17" ht="15.75" customHeight="1" s="209">
      <c r="A17" s="153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</row>
    <row r="18" ht="15.75" customHeight="1" s="209">
      <c r="A18" s="153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</row>
    <row r="19" ht="15.75" customHeight="1" s="209">
      <c r="A19" s="153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</row>
    <row r="20" ht="15.75" customHeight="1" s="209">
      <c r="A20" s="153" t="n"/>
      <c r="B20" s="153" t="inlineStr">
        <is>
          <t>Составил ______________________        Е.А. Князева</t>
        </is>
      </c>
      <c r="C20" s="153" t="n"/>
      <c r="D20" s="153" t="n"/>
      <c r="E20" s="153" t="n"/>
      <c r="F20" s="153" t="n"/>
      <c r="G20" s="153" t="n"/>
      <c r="H20" s="153" t="n"/>
      <c r="I20" s="153" t="n"/>
      <c r="J20" s="153" t="n"/>
    </row>
    <row r="21" ht="22.5" customHeight="1" s="209">
      <c r="A21" s="153" t="n"/>
      <c r="B21" s="142" t="inlineStr">
        <is>
          <t xml:space="preserve">                         (подпись, инициалы, фамилия)</t>
        </is>
      </c>
      <c r="C21" s="153" t="n"/>
      <c r="D21" s="153" t="n"/>
      <c r="E21" s="153" t="n"/>
      <c r="F21" s="153" t="n"/>
      <c r="G21" s="153" t="n"/>
      <c r="H21" s="153" t="n"/>
      <c r="I21" s="153" t="n"/>
      <c r="J21" s="153" t="n"/>
    </row>
    <row r="22" ht="15.75" customHeight="1" s="209">
      <c r="A22" s="153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</row>
    <row r="23" ht="15.75" customHeight="1" s="209">
      <c r="A23" s="153" t="n"/>
      <c r="B23" s="153" t="inlineStr">
        <is>
          <t>Проверил ______________________        А.В. Костянецкая</t>
        </is>
      </c>
      <c r="C23" s="153" t="n"/>
      <c r="D23" s="153" t="n"/>
      <c r="E23" s="153" t="n"/>
      <c r="F23" s="153" t="n"/>
      <c r="G23" s="153" t="n"/>
      <c r="H23" s="153" t="n"/>
      <c r="I23" s="153" t="n"/>
      <c r="J23" s="153" t="n"/>
    </row>
    <row r="24" ht="22.5" customHeight="1" s="209">
      <c r="A24" s="153" t="n"/>
      <c r="B24" s="142" t="inlineStr">
        <is>
          <t xml:space="preserve">                        (подпись, инициалы, фамилия)</t>
        </is>
      </c>
      <c r="C24" s="153" t="n"/>
      <c r="D24" s="153" t="n"/>
      <c r="E24" s="153" t="n"/>
      <c r="F24" s="153" t="n"/>
      <c r="G24" s="153" t="n"/>
      <c r="H24" s="153" t="n"/>
      <c r="I24" s="153" t="n"/>
      <c r="J24" s="153" t="n"/>
    </row>
  </sheetData>
  <mergeCells count="13">
    <mergeCell ref="B7:J7"/>
    <mergeCell ref="B3:J3"/>
    <mergeCell ref="D10:D11"/>
    <mergeCell ref="D9:J9"/>
    <mergeCell ref="C12:C13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163"/>
  <sheetViews>
    <sheetView view="pageBreakPreview" zoomScale="85" zoomScaleSheetLayoutView="85" workbookViewId="0">
      <selection activeCell="D171" sqref="D171"/>
    </sheetView>
  </sheetViews>
  <sheetFormatPr baseColWidth="8" defaultRowHeight="15.75"/>
  <cols>
    <col width="9.140625" customWidth="1" style="153" min="1" max="1"/>
    <col width="12.5703125" customWidth="1" style="153" min="2" max="2"/>
    <col width="22.42578125" customWidth="1" style="153" min="3" max="3"/>
    <col width="49.7109375" customWidth="1" style="153" min="4" max="4"/>
    <col width="10.140625" customWidth="1" style="153" min="5" max="5"/>
    <col width="20.7109375" customWidth="1" style="153" min="6" max="6"/>
    <col width="16.140625" customWidth="1" style="153" min="7" max="7"/>
    <col width="16.7109375" customWidth="1" style="153" min="8" max="8"/>
    <col width="9.140625" customWidth="1" style="153" min="9" max="9"/>
    <col width="19.42578125" customWidth="1" style="153" min="10" max="10"/>
    <col width="13" customWidth="1" style="209" min="11" max="11"/>
    <col width="9.140625" customWidth="1" style="209" min="12" max="13"/>
  </cols>
  <sheetData>
    <row r="1">
      <c r="K1" s="153" t="n"/>
    </row>
    <row r="2" s="209">
      <c r="A2" s="153" t="n"/>
      <c r="B2" s="153" t="n"/>
      <c r="C2" s="153" t="n"/>
      <c r="D2" s="153" t="n"/>
      <c r="E2" s="153" t="n"/>
      <c r="F2" s="153" t="n"/>
      <c r="G2" s="153" t="n"/>
      <c r="H2" s="153" t="n"/>
      <c r="I2" s="153" t="n"/>
      <c r="J2" s="153" t="n"/>
      <c r="K2" s="153" t="n"/>
    </row>
    <row r="3" s="209">
      <c r="A3" s="153" t="n"/>
      <c r="B3" s="153" t="n"/>
      <c r="C3" s="153" t="n"/>
      <c r="D3" s="153" t="n"/>
      <c r="E3" s="153" t="n"/>
      <c r="F3" s="153" t="n"/>
      <c r="G3" s="153" t="n"/>
      <c r="H3" s="153" t="n"/>
      <c r="I3" s="153" t="n"/>
      <c r="J3" s="153" t="n"/>
      <c r="K3" s="153" t="n"/>
    </row>
    <row r="4">
      <c r="A4" s="250" t="inlineStr">
        <is>
          <t xml:space="preserve">Приложение № 3 </t>
        </is>
      </c>
      <c r="K4" s="153" t="n"/>
    </row>
    <row r="5">
      <c r="A5" s="251" t="inlineStr">
        <is>
          <t>Объектная ресурсная ведомость</t>
        </is>
      </c>
      <c r="K5" s="153" t="n"/>
    </row>
    <row r="6" ht="18.75" customHeight="1" s="209">
      <c r="A6" s="249" t="n"/>
      <c r="K6" s="153" t="n"/>
    </row>
    <row r="7" ht="36.75" customHeight="1" s="209">
      <c r="A7" s="252">
        <f>'Прил.1 Сравнит табл'!B7</f>
        <v/>
      </c>
      <c r="K7" s="153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  <c r="K8" s="153" t="n"/>
    </row>
    <row r="9" ht="33" customHeight="1" s="209">
      <c r="A9" s="254" t="inlineStr">
        <is>
          <t>п/п</t>
        </is>
      </c>
      <c r="B9" s="254" t="inlineStr">
        <is>
          <t>№ЛСР</t>
        </is>
      </c>
      <c r="C9" s="254" t="inlineStr">
        <is>
          <t>Код ресурса</t>
        </is>
      </c>
      <c r="D9" s="254" t="inlineStr">
        <is>
          <t>Наименование ресурса</t>
        </is>
      </c>
      <c r="E9" s="254" t="inlineStr">
        <is>
          <t>Ед. изм.</t>
        </is>
      </c>
      <c r="F9" s="254" t="inlineStr">
        <is>
          <t>Кол-во единиц по данным объекта-представителя</t>
        </is>
      </c>
      <c r="G9" s="254" t="inlineStr">
        <is>
          <t>Сметная стоимость в ценах на 01.01.2000 (руб.)</t>
        </is>
      </c>
      <c r="H9" s="289" t="n"/>
      <c r="K9" s="153" t="n"/>
    </row>
    <row r="10">
      <c r="A10" s="291" t="n"/>
      <c r="B10" s="291" t="n"/>
      <c r="C10" s="291" t="n"/>
      <c r="D10" s="291" t="n"/>
      <c r="E10" s="291" t="n"/>
      <c r="F10" s="291" t="n"/>
      <c r="G10" s="254" t="inlineStr">
        <is>
          <t>на ед.изм.</t>
        </is>
      </c>
      <c r="H10" s="254" t="inlineStr">
        <is>
          <t>общая</t>
        </is>
      </c>
      <c r="K10" s="153" t="n"/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  <c r="I11" s="166" t="n"/>
      <c r="K11" s="153" t="n"/>
    </row>
    <row r="12">
      <c r="A12" s="257" t="inlineStr">
        <is>
          <t>Затраты труда рабочих</t>
        </is>
      </c>
      <c r="B12" s="288" t="n"/>
      <c r="C12" s="288" t="n"/>
      <c r="D12" s="288" t="n"/>
      <c r="E12" s="289" t="n"/>
      <c r="F12" s="135">
        <f>SUM(F13:F30)</f>
        <v/>
      </c>
      <c r="G12" s="135" t="n"/>
      <c r="H12" s="135">
        <f>SUM(H13:H30)</f>
        <v/>
      </c>
      <c r="I12" s="136" t="n"/>
      <c r="J12" s="136" t="n"/>
      <c r="K12" s="136" t="n"/>
    </row>
    <row r="13">
      <c r="A13" s="258" t="n">
        <v>1</v>
      </c>
      <c r="B13" s="156" t="n"/>
      <c r="C13" s="207" t="inlineStr">
        <is>
          <t>1-1033</t>
        </is>
      </c>
      <c r="D13" s="259" t="inlineStr">
        <is>
          <t>Рабочий строитель среднего разряда 3,3</t>
        </is>
      </c>
      <c r="E13" s="258" t="inlineStr">
        <is>
          <t>чел.-ч</t>
        </is>
      </c>
      <c r="F13" s="258" t="n">
        <v>14076.737799043</v>
      </c>
      <c r="G13" s="139" t="n">
        <v>10.45</v>
      </c>
      <c r="H13" s="139">
        <f>ROUND(F13*G13,2)</f>
        <v/>
      </c>
      <c r="I13" s="247" t="n"/>
      <c r="K13" s="153" t="n"/>
    </row>
    <row r="14" ht="15" customHeight="1" s="209">
      <c r="A14" s="258" t="n">
        <v>2</v>
      </c>
      <c r="B14" s="156" t="n"/>
      <c r="C14" s="207" t="inlineStr">
        <is>
          <t>1-1042</t>
        </is>
      </c>
      <c r="D14" s="259" t="inlineStr">
        <is>
          <t>Рабочий строитель среднего разряда 4,2</t>
        </is>
      </c>
      <c r="E14" s="258" t="inlineStr">
        <is>
          <t>чел.-ч</t>
        </is>
      </c>
      <c r="F14" s="258" t="n">
        <v>8626.696840307401</v>
      </c>
      <c r="G14" s="139" t="n">
        <v>11.71</v>
      </c>
      <c r="H14" s="139">
        <f>ROUND(F14*G14,2)</f>
        <v/>
      </c>
      <c r="I14" s="247" t="n"/>
      <c r="K14" s="153" t="n"/>
    </row>
    <row r="15" ht="15" customHeight="1" s="209">
      <c r="A15" s="258" t="n">
        <v>3</v>
      </c>
      <c r="B15" s="156" t="n"/>
      <c r="C15" s="207" t="inlineStr">
        <is>
          <t>1-1038</t>
        </is>
      </c>
      <c r="D15" s="259" t="inlineStr">
        <is>
          <t>Рабочий строитель среднего разряда 3,8</t>
        </is>
      </c>
      <c r="E15" s="258" t="inlineStr">
        <is>
          <t>чел.-ч</t>
        </is>
      </c>
      <c r="F15" s="258" t="n">
        <v>10664.942887931</v>
      </c>
      <c r="G15" s="139" t="n">
        <v>9.279999999999999</v>
      </c>
      <c r="H15" s="139">
        <f>ROUND(F15*G15,2)</f>
        <v/>
      </c>
      <c r="I15" s="247" t="n"/>
      <c r="K15" s="153" t="n"/>
    </row>
    <row r="16" ht="15" customHeight="1" s="209">
      <c r="A16" s="258" t="n">
        <v>4</v>
      </c>
      <c r="B16" s="156" t="n"/>
      <c r="C16" s="207" t="inlineStr">
        <is>
          <t>1-1035</t>
        </is>
      </c>
      <c r="D16" s="259" t="inlineStr">
        <is>
          <t>Рабочий строитель среднего разряда 3,5</t>
        </is>
      </c>
      <c r="E16" s="258" t="inlineStr">
        <is>
          <t>чел.-ч</t>
        </is>
      </c>
      <c r="F16" s="258" t="n">
        <v>9789.559798995</v>
      </c>
      <c r="G16" s="139" t="n">
        <v>9.949999999999999</v>
      </c>
      <c r="H16" s="139">
        <f>ROUND(F16*G16,2)</f>
        <v/>
      </c>
      <c r="I16" s="247" t="n"/>
      <c r="K16" s="153" t="n"/>
    </row>
    <row r="17" ht="15" customHeight="1" s="209">
      <c r="A17" s="258" t="n">
        <v>5</v>
      </c>
      <c r="B17" s="156" t="n"/>
      <c r="C17" s="207" t="inlineStr">
        <is>
          <t>1-1036</t>
        </is>
      </c>
      <c r="D17" s="259" t="inlineStr">
        <is>
          <t>Рабочий строитель среднего разряда 3,6</t>
        </is>
      </c>
      <c r="E17" s="258" t="inlineStr">
        <is>
          <t>чел.-ч</t>
        </is>
      </c>
      <c r="F17" s="258" t="n">
        <v>4828.8160597572</v>
      </c>
      <c r="G17" s="139" t="n">
        <v>10.71</v>
      </c>
      <c r="H17" s="139">
        <f>ROUND(F17*G17,2)</f>
        <v/>
      </c>
      <c r="I17" s="247" t="n"/>
      <c r="K17" s="153" t="n"/>
    </row>
    <row r="18" ht="15" customHeight="1" s="209">
      <c r="A18" s="258" t="n">
        <v>6</v>
      </c>
      <c r="B18" s="156" t="n"/>
      <c r="C18" s="207" t="inlineStr">
        <is>
          <t>1-1054</t>
        </is>
      </c>
      <c r="D18" s="259" t="inlineStr">
        <is>
          <t>Рабочий строитель среднего разряда 5,4</t>
        </is>
      </c>
      <c r="E18" s="258" t="inlineStr">
        <is>
          <t>чел.-ч</t>
        </is>
      </c>
      <c r="F18" s="258" t="n">
        <v>2635.4302075877</v>
      </c>
      <c r="G18" s="139" t="n">
        <v>13.97</v>
      </c>
      <c r="H18" s="139">
        <f>ROUND(F18*G18,2)</f>
        <v/>
      </c>
      <c r="I18" s="247" t="n"/>
      <c r="K18" s="153" t="n"/>
    </row>
    <row r="19" ht="15" customHeight="1" s="209">
      <c r="A19" s="258" t="n">
        <v>7</v>
      </c>
      <c r="B19" s="156" t="n"/>
      <c r="C19" s="207" t="inlineStr">
        <is>
          <t>1-1034</t>
        </is>
      </c>
      <c r="D19" s="259" t="inlineStr">
        <is>
          <t>Рабочий строитель среднего разряда 3,4</t>
        </is>
      </c>
      <c r="E19" s="258" t="inlineStr">
        <is>
          <t>чел.-ч</t>
        </is>
      </c>
      <c r="F19" s="258" t="n">
        <v>3030.520754717</v>
      </c>
      <c r="G19" s="139" t="n">
        <v>10.6</v>
      </c>
      <c r="H19" s="139">
        <f>ROUND(F19*G19,2)</f>
        <v/>
      </c>
      <c r="I19" s="247" t="n"/>
      <c r="K19" s="153" t="n"/>
    </row>
    <row r="20" ht="15" customHeight="1" s="209">
      <c r="A20" s="258" t="n">
        <v>8</v>
      </c>
      <c r="B20" s="156" t="n"/>
      <c r="C20" s="207" t="inlineStr">
        <is>
          <t>1-1043</t>
        </is>
      </c>
      <c r="D20" s="259" t="inlineStr">
        <is>
          <t>Рабочий строитель среднего разряда 4,3</t>
        </is>
      </c>
      <c r="E20" s="258" t="inlineStr">
        <is>
          <t>чел.-ч</t>
        </is>
      </c>
      <c r="F20" s="258" t="n">
        <v>3135.1060606061</v>
      </c>
      <c r="G20" s="139" t="n">
        <v>9.9</v>
      </c>
      <c r="H20" s="139">
        <f>ROUND(F20*G20,2)</f>
        <v/>
      </c>
      <c r="I20" s="247" t="n"/>
      <c r="K20" s="153" t="n"/>
    </row>
    <row r="21" ht="15" customHeight="1" s="209">
      <c r="A21" s="258" t="n">
        <v>9</v>
      </c>
      <c r="B21" s="156" t="n"/>
      <c r="C21" s="207" t="inlineStr">
        <is>
          <t>1-1015</t>
        </is>
      </c>
      <c r="D21" s="259" t="inlineStr">
        <is>
          <t>Рабочий строитель среднего разряда 1,5</t>
        </is>
      </c>
      <c r="E21" s="258" t="inlineStr">
        <is>
          <t>чел.-ч</t>
        </is>
      </c>
      <c r="F21" s="258" t="n">
        <v>3874.2466124661</v>
      </c>
      <c r="G21" s="139" t="n">
        <v>7.38</v>
      </c>
      <c r="H21" s="139">
        <f>ROUND(F21*G21,2)</f>
        <v/>
      </c>
      <c r="I21" s="247" t="n"/>
      <c r="K21" s="153" t="n"/>
    </row>
    <row r="22" ht="15" customHeight="1" s="209">
      <c r="A22" s="258" t="n">
        <v>10</v>
      </c>
      <c r="B22" s="156" t="n"/>
      <c r="C22" s="207" t="inlineStr">
        <is>
          <t>1-1039</t>
        </is>
      </c>
      <c r="D22" s="259" t="inlineStr">
        <is>
          <t>Рабочий строитель среднего разряда 3,9</t>
        </is>
      </c>
      <c r="E22" s="258" t="inlineStr">
        <is>
          <t>чел.-ч</t>
        </is>
      </c>
      <c r="F22" s="258" t="n">
        <v>2195.4279615795</v>
      </c>
      <c r="G22" s="139" t="n">
        <v>9.369999999999999</v>
      </c>
      <c r="H22" s="139">
        <f>ROUND(F22*G22,2)</f>
        <v/>
      </c>
      <c r="I22" s="247" t="n"/>
      <c r="K22" s="153" t="n"/>
    </row>
    <row r="23" ht="15" customHeight="1" s="209">
      <c r="A23" s="258" t="n">
        <v>11</v>
      </c>
      <c r="B23" s="156" t="n"/>
      <c r="C23" s="207" t="inlineStr">
        <is>
          <t>1-1029</t>
        </is>
      </c>
      <c r="D23" s="259" t="inlineStr">
        <is>
          <t>Рабочий строитель среднего разряда 2,9</t>
        </is>
      </c>
      <c r="E23" s="258" t="inlineStr">
        <is>
          <t>чел.-ч</t>
        </is>
      </c>
      <c r="F23" s="258" t="n">
        <v>2210.5642256903</v>
      </c>
      <c r="G23" s="139" t="n">
        <v>8.33</v>
      </c>
      <c r="H23" s="139">
        <f>ROUND(F23*G23,2)</f>
        <v/>
      </c>
      <c r="I23" s="247" t="n"/>
      <c r="K23" s="153" t="n"/>
    </row>
    <row r="24" ht="15" customHeight="1" s="209">
      <c r="A24" s="258" t="n">
        <v>12</v>
      </c>
      <c r="B24" s="156" t="n"/>
      <c r="C24" s="207" t="inlineStr">
        <is>
          <t>1-1027</t>
        </is>
      </c>
      <c r="D24" s="259" t="inlineStr">
        <is>
          <t>Рабочий строитель среднего разряда 2,7</t>
        </is>
      </c>
      <c r="E24" s="258" t="inlineStr">
        <is>
          <t>чел.-ч</t>
        </is>
      </c>
      <c r="F24" s="258" t="n">
        <v>1258.8789731051</v>
      </c>
      <c r="G24" s="139" t="n">
        <v>8.18</v>
      </c>
      <c r="H24" s="139">
        <f>ROUND(F24*G24,2)</f>
        <v/>
      </c>
      <c r="I24" s="247" t="n"/>
      <c r="K24" s="153" t="n"/>
    </row>
    <row r="25" ht="15" customHeight="1" s="209">
      <c r="A25" s="258" t="n">
        <v>13</v>
      </c>
      <c r="B25" s="156" t="n"/>
      <c r="C25" s="207" t="inlineStr">
        <is>
          <t>1-1049</t>
        </is>
      </c>
      <c r="D25" s="259" t="inlineStr">
        <is>
          <t>Рабочий строитель среднего разряда 4,9</t>
        </is>
      </c>
      <c r="E25" s="258" t="inlineStr">
        <is>
          <t>чел.-ч</t>
        </is>
      </c>
      <c r="F25" s="258" t="n">
        <v>835.38126159555</v>
      </c>
      <c r="G25" s="139" t="n">
        <v>10.78</v>
      </c>
      <c r="H25" s="139">
        <f>ROUND(F25*G25,2)</f>
        <v/>
      </c>
      <c r="I25" s="247" t="n"/>
      <c r="K25" s="153" t="n"/>
    </row>
    <row r="26" ht="15" customHeight="1" s="209">
      <c r="A26" s="258" t="n">
        <v>14</v>
      </c>
      <c r="B26" s="156" t="n"/>
      <c r="C26" s="207" t="inlineStr">
        <is>
          <t>1-1040</t>
        </is>
      </c>
      <c r="D26" s="259" t="inlineStr">
        <is>
          <t>Рабочий строитель среднего разряда 4</t>
        </is>
      </c>
      <c r="E26" s="258" t="inlineStr">
        <is>
          <t>чел.-ч</t>
        </is>
      </c>
      <c r="F26" s="258" t="n">
        <v>309.24287222809</v>
      </c>
      <c r="G26" s="139" t="n">
        <v>9.470000000000001</v>
      </c>
      <c r="H26" s="139">
        <f>ROUND(F26*G26,2)</f>
        <v/>
      </c>
      <c r="I26" s="247" t="n"/>
      <c r="K26" s="153" t="n"/>
    </row>
    <row r="27" ht="15" customHeight="1" s="209">
      <c r="A27" s="258" t="n">
        <v>15</v>
      </c>
      <c r="B27" s="156" t="n"/>
      <c r="C27" s="207" t="inlineStr">
        <is>
          <t>1-1031</t>
        </is>
      </c>
      <c r="D27" s="259" t="inlineStr">
        <is>
          <t>Рабочий строитель среднего разряда 3,1</t>
        </is>
      </c>
      <c r="E27" s="258" t="inlineStr">
        <is>
          <t>чел.-ч</t>
        </is>
      </c>
      <c r="F27" s="258" t="n">
        <v>223.77843137255</v>
      </c>
      <c r="G27" s="139" t="n">
        <v>10.2</v>
      </c>
      <c r="H27" s="139">
        <f>ROUND(F27*G27,2)</f>
        <v/>
      </c>
      <c r="I27" s="247" t="n"/>
      <c r="K27" s="153" t="n"/>
    </row>
    <row r="28" ht="15" customHeight="1" s="209">
      <c r="A28" s="258" t="n">
        <v>16</v>
      </c>
      <c r="B28" s="156" t="n"/>
      <c r="C28" s="207" t="inlineStr">
        <is>
          <t>1-1020</t>
        </is>
      </c>
      <c r="D28" s="259" t="inlineStr">
        <is>
          <t>Рабочий строитель среднего разряда 2</t>
        </is>
      </c>
      <c r="E28" s="258" t="inlineStr">
        <is>
          <t>чел.-ч</t>
        </is>
      </c>
      <c r="F28" s="258" t="n">
        <v>224.35416666667</v>
      </c>
      <c r="G28" s="139" t="n">
        <v>8.16</v>
      </c>
      <c r="H28" s="139">
        <f>ROUND(F28*G28,2)</f>
        <v/>
      </c>
      <c r="I28" s="247" t="n"/>
      <c r="K28" s="153" t="n"/>
    </row>
    <row r="29" ht="15" customHeight="1" s="209">
      <c r="A29" s="258" t="n">
        <v>17</v>
      </c>
      <c r="B29" s="156" t="n"/>
      <c r="C29" s="207" t="inlineStr">
        <is>
          <t>1-1030</t>
        </is>
      </c>
      <c r="D29" s="259" t="inlineStr">
        <is>
          <t>Рабочий строитель среднего разряда 3</t>
        </is>
      </c>
      <c r="E29" s="258" t="inlineStr">
        <is>
          <t>чел.-ч</t>
        </is>
      </c>
      <c r="F29" s="258" t="n">
        <v>47.788095238095</v>
      </c>
      <c r="G29" s="139" t="n">
        <v>8.4</v>
      </c>
      <c r="H29" s="139">
        <f>ROUND(F29*G29,2)</f>
        <v/>
      </c>
      <c r="I29" s="247" t="n"/>
      <c r="K29" s="153" t="n"/>
    </row>
    <row r="30" ht="15" customHeight="1" s="209">
      <c r="A30" s="258" t="n">
        <v>18</v>
      </c>
      <c r="B30" s="156" t="n"/>
      <c r="C30" s="207" t="inlineStr">
        <is>
          <t>1-1022</t>
        </is>
      </c>
      <c r="D30" s="259" t="inlineStr">
        <is>
          <t>Рабочий строитель среднего разряда 2,2</t>
        </is>
      </c>
      <c r="E30" s="258" t="inlineStr">
        <is>
          <t>чел.-ч</t>
        </is>
      </c>
      <c r="F30" s="258" t="n">
        <v>5.2365728900256</v>
      </c>
      <c r="G30" s="139" t="n">
        <v>7.82</v>
      </c>
      <c r="H30" s="139">
        <f>ROUND(F30*G30,2)</f>
        <v/>
      </c>
      <c r="I30" s="247" t="n"/>
      <c r="K30" s="153" t="n"/>
    </row>
    <row r="31">
      <c r="A31" s="257" t="inlineStr">
        <is>
          <t>Затраты труда машинистов</t>
        </is>
      </c>
      <c r="B31" s="288" t="n"/>
      <c r="C31" s="288" t="n"/>
      <c r="D31" s="288" t="n"/>
      <c r="E31" s="289" t="n"/>
      <c r="F31" s="257">
        <f>F32</f>
        <v/>
      </c>
      <c r="G31" s="135" t="n"/>
      <c r="H31" s="135">
        <f>H32</f>
        <v/>
      </c>
      <c r="K31" s="153" t="n"/>
    </row>
    <row r="32">
      <c r="A32" s="258" t="n">
        <v>19</v>
      </c>
      <c r="B32" s="157" t="n"/>
      <c r="C32" s="148" t="n">
        <v>2</v>
      </c>
      <c r="D32" s="259" t="inlineStr">
        <is>
          <t>Затраты труда машинистов</t>
        </is>
      </c>
      <c r="E32" s="258" t="inlineStr">
        <is>
          <t>чел.-ч</t>
        </is>
      </c>
      <c r="F32" s="258" t="n">
        <v>42716.087718</v>
      </c>
      <c r="G32" s="139" t="n"/>
      <c r="H32" s="139" t="n">
        <v>342910.45</v>
      </c>
      <c r="K32" s="153" t="n"/>
    </row>
    <row r="33">
      <c r="A33" s="257" t="inlineStr">
        <is>
          <t>Машины и механизмы</t>
        </is>
      </c>
      <c r="B33" s="288" t="n"/>
      <c r="C33" s="288" t="n"/>
      <c r="D33" s="288" t="n"/>
      <c r="E33" s="289" t="n"/>
      <c r="F33" s="257" t="n"/>
      <c r="G33" s="135" t="n"/>
      <c r="H33" s="135">
        <f>SUM(H34:H75)</f>
        <v/>
      </c>
      <c r="I33" s="136" t="n"/>
      <c r="J33" s="150" t="n"/>
      <c r="K33" s="136" t="n"/>
    </row>
    <row r="34" ht="31.5" customHeight="1" s="209">
      <c r="A34" s="258" t="n">
        <v>20</v>
      </c>
      <c r="B34" s="157" t="n"/>
      <c r="C34" s="231" t="inlineStr">
        <is>
          <t>91.05.06-012</t>
        </is>
      </c>
      <c r="D34" s="259" t="inlineStr">
        <is>
          <t>Краны на гусеничном ходу, грузоподъемность до 16 т</t>
        </is>
      </c>
      <c r="E34" s="258" t="inlineStr">
        <is>
          <t>маш.-ч.</t>
        </is>
      </c>
      <c r="F34" s="258" t="n">
        <v>19134.657702549</v>
      </c>
      <c r="G34" s="139" t="n">
        <v>96.89</v>
      </c>
      <c r="H34" s="139">
        <f>ROUND(F34*G34,2)</f>
        <v/>
      </c>
      <c r="J34" s="219" t="n"/>
      <c r="K34" s="153" t="n"/>
    </row>
    <row r="35" ht="31.5" customHeight="1" s="209">
      <c r="A35" s="258" t="n">
        <v>21</v>
      </c>
      <c r="B35" s="157" t="n"/>
      <c r="C35" s="231" t="inlineStr">
        <is>
          <t>91.05.06-012</t>
        </is>
      </c>
      <c r="D35" s="259" t="inlineStr">
        <is>
          <t>Краны на гусеничном ходу, грузоподъемность до 16 т</t>
        </is>
      </c>
      <c r="E35" s="258" t="inlineStr">
        <is>
          <t>маш.-ч.</t>
        </is>
      </c>
      <c r="F35" s="258" t="n">
        <v>14482.926725152</v>
      </c>
      <c r="G35" s="139" t="n">
        <v>96.89</v>
      </c>
      <c r="H35" s="139">
        <f>ROUND(F35*G35,2)</f>
        <v/>
      </c>
      <c r="I35" s="136" t="n"/>
      <c r="J35" s="136" t="n"/>
      <c r="K35" s="136" t="n"/>
    </row>
    <row r="36" ht="31.5" customHeight="1" s="209">
      <c r="A36" s="258" t="n">
        <v>22</v>
      </c>
      <c r="B36" s="157" t="n"/>
      <c r="C36" s="231" t="inlineStr">
        <is>
          <t>91.05.06-007</t>
        </is>
      </c>
      <c r="D36" s="259" t="inlineStr">
        <is>
          <t>Краны на гусеничном ходу, грузоподъемность 25 т</t>
        </is>
      </c>
      <c r="E36" s="258" t="inlineStr">
        <is>
          <t>маш.-ч.</t>
        </is>
      </c>
      <c r="F36" s="258" t="n">
        <v>3754.6335754748</v>
      </c>
      <c r="G36" s="139" t="n">
        <v>120.04</v>
      </c>
      <c r="H36" s="139">
        <f>ROUND(F36*G36,2)</f>
        <v/>
      </c>
      <c r="I36" s="136" t="n"/>
      <c r="J36" s="136" t="n"/>
      <c r="K36" s="136" t="n"/>
    </row>
    <row r="37" ht="31.5" customHeight="1" s="209">
      <c r="A37" s="258" t="n">
        <v>23</v>
      </c>
      <c r="B37" s="157" t="n"/>
      <c r="C37" s="231" t="inlineStr">
        <is>
          <t>91.05.05-016</t>
        </is>
      </c>
      <c r="D37" s="259" t="inlineStr">
        <is>
          <t>Краны на автомобильном ходу, грузоподъемность 25 т</t>
        </is>
      </c>
      <c r="E37" s="258" t="inlineStr">
        <is>
          <t>маш.-ч.</t>
        </is>
      </c>
      <c r="F37" s="258" t="n">
        <v>3864.6478118506</v>
      </c>
      <c r="G37" s="139" t="n">
        <v>476.43</v>
      </c>
      <c r="H37" s="139">
        <f>ROUND(F37*G37,2)</f>
        <v/>
      </c>
      <c r="I37" s="136" t="n"/>
      <c r="J37" s="136" t="n"/>
      <c r="K37" s="136" t="n"/>
    </row>
    <row r="38" ht="31.5" customHeight="1" s="209">
      <c r="A38" s="258" t="n">
        <v>24</v>
      </c>
      <c r="B38" s="157" t="n"/>
      <c r="C38" s="231" t="inlineStr">
        <is>
          <t>91.05.05-016</t>
        </is>
      </c>
      <c r="D38" s="259" t="inlineStr">
        <is>
          <t>Краны на автомобильном ходу, грузоподъемность 25 т</t>
        </is>
      </c>
      <c r="E38" s="258" t="inlineStr">
        <is>
          <t>маш.-ч.</t>
        </is>
      </c>
      <c r="F38" s="258" t="n">
        <v>2820.0028398715</v>
      </c>
      <c r="G38" s="139" t="n">
        <v>476.43</v>
      </c>
      <c r="H38" s="139">
        <f>ROUND(F38*G38,2)</f>
        <v/>
      </c>
      <c r="I38" s="136" t="n"/>
      <c r="J38" s="136" t="n"/>
      <c r="K38" s="136" t="n"/>
    </row>
    <row r="39" ht="31.5" customHeight="1" s="209">
      <c r="A39" s="258" t="n">
        <v>25</v>
      </c>
      <c r="B39" s="157" t="n"/>
      <c r="C39" s="231" t="inlineStr">
        <is>
          <t>91.05.05-015</t>
        </is>
      </c>
      <c r="D39" s="259" t="inlineStr">
        <is>
          <t>Краны на автомобильном ходу, грузоподъемность 16 т</t>
        </is>
      </c>
      <c r="E39" s="258" t="inlineStr">
        <is>
          <t>маш.-ч.</t>
        </is>
      </c>
      <c r="F39" s="258" t="n">
        <v>4312.8267244367</v>
      </c>
      <c r="G39" s="139" t="n">
        <v>115.4</v>
      </c>
      <c r="H39" s="139">
        <f>ROUND(F39*G39,2)</f>
        <v/>
      </c>
      <c r="I39" s="136" t="n"/>
      <c r="J39" s="136" t="n"/>
      <c r="K39" s="136" t="n"/>
    </row>
    <row r="40" ht="31.5" customHeight="1" s="209">
      <c r="A40" s="258" t="n">
        <v>26</v>
      </c>
      <c r="B40" s="157" t="n"/>
      <c r="C40" s="231" t="inlineStr">
        <is>
          <t>91.11.02-021</t>
        </is>
      </c>
      <c r="D40" s="259" t="inlineStr">
        <is>
          <t>Комплексы для монтажа проводов методом "под тяжением"</t>
        </is>
      </c>
      <c r="E40" s="258" t="inlineStr">
        <is>
          <t>маш.-ч.</t>
        </is>
      </c>
      <c r="F40" s="258" t="n">
        <v>1422.7273861641</v>
      </c>
      <c r="G40" s="139" t="n">
        <v>637.76</v>
      </c>
      <c r="H40" s="139">
        <f>ROUND(F40*G40,2)</f>
        <v/>
      </c>
      <c r="I40" s="136" t="n"/>
      <c r="J40" s="136" t="n"/>
      <c r="K40" s="136" t="n"/>
    </row>
    <row r="41">
      <c r="A41" s="258" t="n">
        <v>27</v>
      </c>
      <c r="B41" s="157" t="n"/>
      <c r="C41" s="231" t="inlineStr">
        <is>
          <t>91.06.06-014</t>
        </is>
      </c>
      <c r="D41" s="259" t="inlineStr">
        <is>
          <t>Автогидроподъемники, высота подъема 28 м</t>
        </is>
      </c>
      <c r="E41" s="258" t="inlineStr">
        <is>
          <t>маш.-ч.</t>
        </is>
      </c>
      <c r="F41" s="258" t="n">
        <v>2573.1913072405</v>
      </c>
      <c r="G41" s="139" t="n">
        <v>243.49</v>
      </c>
      <c r="H41" s="139">
        <f>ROUND(F41*G41,2)</f>
        <v/>
      </c>
      <c r="I41" s="136" t="n"/>
      <c r="J41" s="136" t="n"/>
      <c r="K41" s="136" t="n"/>
    </row>
    <row r="42" ht="31.5" customHeight="1" s="209">
      <c r="A42" s="258" t="n">
        <v>28</v>
      </c>
      <c r="B42" s="157" t="n"/>
      <c r="C42" s="231" t="inlineStr">
        <is>
          <t>91.15.02-029</t>
        </is>
      </c>
      <c r="D42" s="259" t="inlineStr">
        <is>
          <t>Тракторы на гусеничном ходу с лебедкой 132 кВт (180 л.с.)</t>
        </is>
      </c>
      <c r="E42" s="258" t="inlineStr">
        <is>
          <t>маш.-ч.</t>
        </is>
      </c>
      <c r="F42" s="258" t="n">
        <v>4071.6370589432</v>
      </c>
      <c r="G42" s="139" t="n">
        <v>147.43</v>
      </c>
      <c r="H42" s="139">
        <f>ROUND(F42*G42,2)</f>
        <v/>
      </c>
      <c r="I42" s="136" t="n"/>
      <c r="J42" s="136" t="n"/>
      <c r="K42" s="136" t="n"/>
    </row>
    <row r="43" ht="47.25" customHeight="1" s="209">
      <c r="A43" s="258" t="n">
        <v>29</v>
      </c>
      <c r="B43" s="157" t="n"/>
      <c r="C43" s="231" t="inlineStr">
        <is>
          <t>91.02.04-032</t>
        </is>
      </c>
      <c r="D43" s="259" t="inlineStr">
        <is>
          <t>Установки буровые для бурения скважин под сваи ковшового бурения, глубиной до 24 м, диаметром до 1200 мм</t>
        </is>
      </c>
      <c r="E43" s="258" t="inlineStr">
        <is>
          <t>маш.-ч.</t>
        </is>
      </c>
      <c r="F43" s="258" t="n">
        <v>3137.5234506407</v>
      </c>
      <c r="G43" s="139" t="n">
        <v>166.23</v>
      </c>
      <c r="H43" s="139">
        <f>ROUND(F43*G43,2)</f>
        <v/>
      </c>
      <c r="I43" s="136" t="n"/>
      <c r="J43" s="136" t="n"/>
      <c r="K43" s="136" t="n"/>
    </row>
    <row r="44" ht="47.25" customHeight="1" s="209">
      <c r="A44" s="258" t="n">
        <v>30</v>
      </c>
      <c r="B44" s="157" t="n"/>
      <c r="C44" s="231" t="inlineStr">
        <is>
          <t>91.02.04-032</t>
        </is>
      </c>
      <c r="D44" s="259" t="inlineStr">
        <is>
          <t>Установки буровые для бурения скважин под сваи ковшового бурения, глубиной до 24 м, диаметром до 1200 мм</t>
        </is>
      </c>
      <c r="E44" s="258" t="inlineStr">
        <is>
          <t>маш.-ч.</t>
        </is>
      </c>
      <c r="F44" s="258" t="n">
        <v>1624.8583288215</v>
      </c>
      <c r="G44" s="139" t="n">
        <v>166.23</v>
      </c>
      <c r="H44" s="139">
        <f>ROUND(F44*G44,2)</f>
        <v/>
      </c>
      <c r="I44" s="136" t="n"/>
      <c r="J44" s="136" t="n"/>
      <c r="K44" s="136" t="n"/>
    </row>
    <row r="45" ht="47.25" customHeight="1" s="209">
      <c r="A45" s="258" t="n">
        <v>31</v>
      </c>
      <c r="B45" s="157" t="n"/>
      <c r="C45" s="231" t="inlineStr">
        <is>
          <t>91.02.04-036</t>
        </is>
      </c>
      <c r="D45" s="259" t="inlineStr">
        <is>
          <t>Установки буровые для бурения скважин под сваи шнекового бурения, глубиной до 30 м, диаметром до 600 мм</t>
        </is>
      </c>
      <c r="E45" s="258" t="inlineStr">
        <is>
          <t>маш.-ч.</t>
        </is>
      </c>
      <c r="F45" s="258" t="n">
        <v>135.86416</v>
      </c>
      <c r="G45" s="139" t="n">
        <v>218.17</v>
      </c>
      <c r="H45" s="139">
        <f>ROUND(F45*G45,2)</f>
        <v/>
      </c>
      <c r="I45" s="136" t="n"/>
      <c r="J45" s="136" t="n"/>
      <c r="K45" s="136" t="n"/>
    </row>
    <row r="46">
      <c r="A46" s="258" t="n">
        <v>32</v>
      </c>
      <c r="B46" s="157" t="n"/>
      <c r="C46" s="231" t="n"/>
      <c r="D46" s="259" t="inlineStr">
        <is>
          <t>Итого основные машины и механизмы</t>
        </is>
      </c>
      <c r="E46" s="258" t="n"/>
      <c r="F46" s="258" t="n"/>
      <c r="G46" s="139" t="n"/>
      <c r="H46" s="139">
        <f>ROUND(F46*G46,2)</f>
        <v/>
      </c>
      <c r="I46" s="136" t="n"/>
      <c r="J46" s="136" t="n"/>
      <c r="K46" s="136" t="n"/>
    </row>
    <row r="47" ht="31.5" customHeight="1" s="209">
      <c r="A47" s="258" t="n">
        <v>33</v>
      </c>
      <c r="B47" s="157" t="n"/>
      <c r="C47" s="231" t="inlineStr">
        <is>
          <t>91.02.01-005</t>
        </is>
      </c>
      <c r="D47" s="259" t="inlineStr">
        <is>
          <t>Вибропогружатели низкочастотные для погружения свай-оболочек</t>
        </is>
      </c>
      <c r="E47" s="258" t="inlineStr">
        <is>
          <t>маш.-ч.</t>
        </is>
      </c>
      <c r="F47" s="258" t="n">
        <v>1279.1806548739</v>
      </c>
      <c r="G47" s="139" t="n">
        <v>106.28</v>
      </c>
      <c r="H47" s="139">
        <f>ROUND(F47*G47,2)</f>
        <v/>
      </c>
      <c r="I47" s="136" t="n"/>
      <c r="J47" s="136" t="n"/>
      <c r="K47" s="136" t="n"/>
    </row>
    <row r="48" ht="63" customHeight="1" s="209">
      <c r="A48" s="258" t="n">
        <v>34</v>
      </c>
      <c r="B48" s="157" t="n"/>
      <c r="C48" s="231" t="inlineStr">
        <is>
          <t>91.21.22-195</t>
        </is>
      </c>
      <c r="D48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48" s="258" t="inlineStr">
        <is>
          <t>маш.-ч.</t>
        </is>
      </c>
      <c r="F48" s="258" t="n">
        <v>872.91210358828</v>
      </c>
      <c r="G48" s="139" t="n">
        <v>91.13</v>
      </c>
      <c r="H48" s="139">
        <f>ROUND(F48*G48,2)</f>
        <v/>
      </c>
      <c r="I48" s="136" t="n"/>
      <c r="J48" s="136" t="n"/>
      <c r="K48" s="136" t="n"/>
    </row>
    <row r="49" ht="47.25" customHeight="1" s="209">
      <c r="A49" s="258" t="n">
        <v>35</v>
      </c>
      <c r="B49" s="157" t="n"/>
      <c r="C49" s="231" t="inlineStr">
        <is>
          <t>91.18.01-007</t>
        </is>
      </c>
      <c r="D49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9" s="258" t="inlineStr">
        <is>
          <t>маш.-ч.</t>
        </is>
      </c>
      <c r="F49" s="258" t="n">
        <v>872.96</v>
      </c>
      <c r="G49" s="139" t="n">
        <v>90</v>
      </c>
      <c r="H49" s="139">
        <f>ROUND(F49*G49,2)</f>
        <v/>
      </c>
      <c r="I49" s="136" t="n"/>
      <c r="J49" s="136" t="n"/>
      <c r="K49" s="136" t="n"/>
    </row>
    <row r="50">
      <c r="A50" s="258" t="n">
        <v>36</v>
      </c>
      <c r="B50" s="157" t="n"/>
      <c r="C50" s="231" t="inlineStr">
        <is>
          <t>91.21.22-447</t>
        </is>
      </c>
      <c r="D50" s="259" t="inlineStr">
        <is>
          <t>Установки электрометаллизационные</t>
        </is>
      </c>
      <c r="E50" s="258" t="inlineStr">
        <is>
          <t>маш.-ч.</t>
        </is>
      </c>
      <c r="F50" s="258" t="n">
        <v>1010.9284752155</v>
      </c>
      <c r="G50" s="139" t="n">
        <v>74.23999999999999</v>
      </c>
      <c r="H50" s="139">
        <f>ROUND(F50*G50,2)</f>
        <v/>
      </c>
      <c r="I50" s="136" t="n"/>
      <c r="J50" s="136" t="n"/>
      <c r="K50" s="136" t="n"/>
    </row>
    <row r="51">
      <c r="A51" s="258" t="n">
        <v>37</v>
      </c>
      <c r="B51" s="157" t="n"/>
      <c r="C51" s="231" t="inlineStr">
        <is>
          <t>91.14.04-002</t>
        </is>
      </c>
      <c r="D51" s="259" t="inlineStr">
        <is>
          <t>Тягачи седельные, грузоподъемность 15 т</t>
        </is>
      </c>
      <c r="E51" s="258" t="inlineStr">
        <is>
          <t>маш.-ч.</t>
        </is>
      </c>
      <c r="F51" s="258" t="n">
        <v>614.10544671248</v>
      </c>
      <c r="G51" s="139" t="n">
        <v>97.48999999999999</v>
      </c>
      <c r="H51" s="139">
        <f>ROUND(F51*G51,2)</f>
        <v/>
      </c>
      <c r="I51" s="136" t="n"/>
      <c r="J51" s="136" t="n"/>
      <c r="K51" s="136" t="n"/>
    </row>
    <row r="52" ht="31.5" customHeight="1" s="209">
      <c r="A52" s="258" t="n">
        <v>38</v>
      </c>
      <c r="B52" s="157" t="n"/>
      <c r="C52" s="231" t="inlineStr">
        <is>
          <t>91.10.05-001</t>
        </is>
      </c>
      <c r="D52" s="259" t="inlineStr">
        <is>
          <t>Трубоукладчики для труб диаметром 800-1000 мм, грузоподъемность 35 т</t>
        </is>
      </c>
      <c r="E52" s="258" t="inlineStr">
        <is>
          <t>маш.-ч.</t>
        </is>
      </c>
      <c r="F52" s="258" t="n">
        <v>182.16295205056</v>
      </c>
      <c r="G52" s="139" t="n">
        <v>210.43</v>
      </c>
      <c r="H52" s="139">
        <f>ROUND(F52*G52,2)</f>
        <v/>
      </c>
      <c r="I52" s="136" t="n"/>
      <c r="J52" s="136" t="n"/>
      <c r="K52" s="136" t="n"/>
    </row>
    <row r="53" ht="31.5" customHeight="1" s="209">
      <c r="A53" s="258" t="n">
        <v>39</v>
      </c>
      <c r="B53" s="157" t="n"/>
      <c r="C53" s="231" t="inlineStr">
        <is>
          <t>91.14.03-002</t>
        </is>
      </c>
      <c r="D53" s="259" t="inlineStr">
        <is>
          <t>Автомобили-самосвалы, грузоподъемность до 10 т</t>
        </is>
      </c>
      <c r="E53" s="258" t="inlineStr">
        <is>
          <t>маш.-ч.</t>
        </is>
      </c>
      <c r="F53" s="258" t="n">
        <v>312.14001600183</v>
      </c>
      <c r="G53" s="139" t="n">
        <v>87.48999999999999</v>
      </c>
      <c r="H53" s="139">
        <f>ROUND(F53*G53,2)</f>
        <v/>
      </c>
      <c r="I53" s="136" t="n"/>
      <c r="J53" s="136" t="n"/>
      <c r="K53" s="136" t="n"/>
    </row>
    <row r="54" ht="31.5" customHeight="1" s="209">
      <c r="A54" s="258" t="n">
        <v>40</v>
      </c>
      <c r="B54" s="157" t="n"/>
      <c r="C54" s="231" t="inlineStr">
        <is>
          <t>91.01.05-086</t>
        </is>
      </c>
      <c r="D54" s="259" t="inlineStr">
        <is>
          <t>Экскаваторы одноковшовые дизельные на гусеничном ходу, емкость ковша 0,65 м3</t>
        </is>
      </c>
      <c r="E54" s="258" t="inlineStr">
        <is>
          <t>маш.-ч.</t>
        </is>
      </c>
      <c r="F54" s="258" t="n">
        <v>130.88851937536</v>
      </c>
      <c r="G54" s="139" t="n">
        <v>138.32</v>
      </c>
      <c r="H54" s="139">
        <f>ROUND(F54*G54,2)</f>
        <v/>
      </c>
      <c r="I54" s="136" t="n"/>
      <c r="J54" s="136" t="n"/>
      <c r="K54" s="136" t="n"/>
    </row>
    <row r="55" ht="47.25" customHeight="1" s="209">
      <c r="A55" s="258" t="n">
        <v>41</v>
      </c>
      <c r="B55" s="157" t="n"/>
      <c r="C55" s="231" t="inlineStr">
        <is>
          <t>91.04.01-077</t>
        </is>
      </c>
      <c r="D55" s="259" t="inlineStr">
        <is>
          <t>Установки и агрегаты буровые на базе автомобилей глубина бурения до 200 м, грузоподъемность до 4 т</t>
        </is>
      </c>
      <c r="E55" s="258" t="inlineStr">
        <is>
          <t>маш.-ч.</t>
        </is>
      </c>
      <c r="F55" s="258" t="n">
        <v>65.34043521116099</v>
      </c>
      <c r="G55" s="139" t="n">
        <v>263.78</v>
      </c>
      <c r="H55" s="139">
        <f>ROUND(F55*G55,2)</f>
        <v/>
      </c>
      <c r="I55" s="136" t="n"/>
      <c r="J55" s="136" t="n"/>
      <c r="K55" s="136" t="n"/>
    </row>
    <row r="56" ht="31.5" customHeight="1" s="209">
      <c r="A56" s="258" t="n">
        <v>42</v>
      </c>
      <c r="B56" s="157" t="n"/>
      <c r="C56" s="231" t="inlineStr">
        <is>
          <t>91.14.05-012</t>
        </is>
      </c>
      <c r="D56" s="259" t="inlineStr">
        <is>
          <t>Полуприцепы общего назначения, грузоподъемность 15 т</t>
        </is>
      </c>
      <c r="E56" s="258" t="inlineStr">
        <is>
          <t>маш.-ч.</t>
        </is>
      </c>
      <c r="F56" s="258" t="n">
        <v>614.1386575208199</v>
      </c>
      <c r="G56" s="139" t="n">
        <v>20.41</v>
      </c>
      <c r="H56" s="139">
        <f>ROUND(F56*G56,2)</f>
        <v/>
      </c>
      <c r="I56" s="136" t="n"/>
      <c r="J56" s="136" t="n"/>
      <c r="K56" s="136" t="n"/>
    </row>
    <row r="57">
      <c r="A57" s="258" t="n">
        <v>43</v>
      </c>
      <c r="B57" s="157" t="n"/>
      <c r="C57" s="231" t="inlineStr">
        <is>
          <t>91.14.02-001</t>
        </is>
      </c>
      <c r="D57" s="259" t="inlineStr">
        <is>
          <t>Автомобили бортовые, грузоподъемность до 5 т</t>
        </is>
      </c>
      <c r="E57" s="258" t="inlineStr">
        <is>
          <t>маш.-ч.</t>
        </is>
      </c>
      <c r="F57" s="258" t="n">
        <v>172.7290960452</v>
      </c>
      <c r="G57" s="139" t="n">
        <v>70.8</v>
      </c>
      <c r="H57" s="139">
        <f>ROUND(F57*G57,2)</f>
        <v/>
      </c>
      <c r="I57" s="136" t="n"/>
      <c r="J57" s="136" t="n"/>
      <c r="K57" s="136" t="n"/>
    </row>
    <row r="58" ht="31.5" customHeight="1" s="209">
      <c r="A58" s="258" t="n">
        <v>44</v>
      </c>
      <c r="B58" s="157" t="n"/>
      <c r="C58" s="231" t="inlineStr">
        <is>
          <t>91.04.01-032</t>
        </is>
      </c>
      <c r="D58" s="259" t="inlineStr">
        <is>
          <t>Машины бурильно-крановые глубина бурения 1,5-3 м, мощность 66 кВт (90 л.с.)</t>
        </is>
      </c>
      <c r="E58" s="258" t="inlineStr">
        <is>
          <t>маш.-ч.</t>
        </is>
      </c>
      <c r="F58" s="258" t="n">
        <v>77.848770544018</v>
      </c>
      <c r="G58" s="139" t="n">
        <v>156.98</v>
      </c>
      <c r="H58" s="139">
        <f>ROUND(F58*G58,2)</f>
        <v/>
      </c>
      <c r="I58" s="136" t="n"/>
      <c r="J58" s="136" t="n"/>
      <c r="K58" s="136" t="n"/>
    </row>
    <row r="59" ht="47.25" customHeight="1" s="209">
      <c r="A59" s="258" t="n">
        <v>45</v>
      </c>
      <c r="B59" s="157" t="n"/>
      <c r="C59" s="231" t="inlineStr">
        <is>
          <t>91.17.04-036</t>
        </is>
      </c>
      <c r="D59" s="259" t="inlineStr">
        <is>
          <t>Агрегаты сварочные передвижные с дизельным двигателем, номинальный сварочный ток 250-400 А</t>
        </is>
      </c>
      <c r="E59" s="258" t="inlineStr">
        <is>
          <t>маш.-ч.</t>
        </is>
      </c>
      <c r="F59" s="258" t="n">
        <v>848.19621583742</v>
      </c>
      <c r="G59" s="139" t="n">
        <v>14.27</v>
      </c>
      <c r="H59" s="139">
        <f>ROUND(F59*G59,2)</f>
        <v/>
      </c>
      <c r="I59" s="136" t="n"/>
      <c r="J59" s="136" t="n"/>
      <c r="K59" s="136" t="n"/>
    </row>
    <row r="60" ht="47.25" customHeight="1" s="209">
      <c r="A60" s="258" t="n">
        <v>46</v>
      </c>
      <c r="B60" s="157" t="n"/>
      <c r="C60" s="231" t="inlineStr">
        <is>
          <t>91.19.06-011</t>
        </is>
      </c>
      <c r="D60" s="259" t="inlineStr">
        <is>
          <t>Насосы грязевые, подача 23,4-65,3 м3/ч, давление нагнетания 15,7-5,88 МПа (160-60 кгс/см2)</t>
        </is>
      </c>
      <c r="E60" s="258" t="inlineStr">
        <is>
          <t>маш.-ч.</t>
        </is>
      </c>
      <c r="F60" s="258" t="n">
        <v>323.018230563</v>
      </c>
      <c r="G60" s="139" t="n">
        <v>37.3</v>
      </c>
      <c r="H60" s="139">
        <f>ROUND(F60*G60,2)</f>
        <v/>
      </c>
      <c r="I60" s="136" t="n"/>
      <c r="J60" s="136" t="n"/>
      <c r="K60" s="136" t="n"/>
    </row>
    <row r="61" ht="31.5" customHeight="1" s="209">
      <c r="A61" s="258" t="n">
        <v>47</v>
      </c>
      <c r="B61" s="157" t="n"/>
      <c r="C61" s="231" t="inlineStr">
        <is>
          <t>91.05.14-023</t>
        </is>
      </c>
      <c r="D61" s="259" t="inlineStr">
        <is>
          <t>Краны на тракторе, мощность 121 кВт (165 л.с.), грузоподъемность 5 т</t>
        </is>
      </c>
      <c r="E61" s="258" t="inlineStr">
        <is>
          <t>маш.-ч.</t>
        </is>
      </c>
      <c r="F61" s="258" t="n">
        <v>63.839387308534</v>
      </c>
      <c r="G61" s="139" t="n">
        <v>182.8</v>
      </c>
      <c r="H61" s="139">
        <f>ROUND(F61*G61,2)</f>
        <v/>
      </c>
      <c r="I61" s="136" t="n"/>
      <c r="J61" s="136" t="n"/>
      <c r="K61" s="136" t="n"/>
    </row>
    <row r="62">
      <c r="A62" s="258" t="n">
        <v>48</v>
      </c>
      <c r="B62" s="157" t="n"/>
      <c r="C62" s="231" t="inlineStr">
        <is>
          <t>91.14.04-001</t>
        </is>
      </c>
      <c r="D62" s="259" t="inlineStr">
        <is>
          <t>Тягачи седельные, грузоподъемность 12 т</t>
        </is>
      </c>
      <c r="E62" s="258" t="inlineStr">
        <is>
          <t>маш.-ч.</t>
        </is>
      </c>
      <c r="F62" s="258" t="n">
        <v>66.750688705234</v>
      </c>
      <c r="G62" s="139" t="n">
        <v>123.42</v>
      </c>
      <c r="H62" s="139">
        <f>ROUND(F62*G62,2)</f>
        <v/>
      </c>
      <c r="I62" s="136" t="n"/>
      <c r="J62" s="136" t="n"/>
      <c r="K62" s="136" t="n"/>
    </row>
    <row r="63">
      <c r="A63" s="258" t="n">
        <v>49</v>
      </c>
      <c r="B63" s="157" t="n"/>
      <c r="C63" s="231" t="inlineStr">
        <is>
          <t>91.07.08-011</t>
        </is>
      </c>
      <c r="D63" s="259" t="inlineStr">
        <is>
          <t>Глиномешалки, 4 м3</t>
        </is>
      </c>
      <c r="E63" s="258" t="inlineStr">
        <is>
          <t>маш.-ч.</t>
        </is>
      </c>
      <c r="F63" s="258" t="n">
        <v>155.11257861635</v>
      </c>
      <c r="G63" s="139" t="n">
        <v>31.8</v>
      </c>
      <c r="H63" s="139">
        <f>ROUND(F63*G63,2)</f>
        <v/>
      </c>
      <c r="I63" s="136" t="n"/>
      <c r="J63" s="136" t="n"/>
      <c r="K63" s="136" t="n"/>
    </row>
    <row r="64">
      <c r="A64" s="258" t="n">
        <v>50</v>
      </c>
      <c r="B64" s="157" t="n"/>
      <c r="C64" s="231" t="inlineStr">
        <is>
          <t>91.01.01-035</t>
        </is>
      </c>
      <c r="D64" s="259" t="inlineStr">
        <is>
          <t>Бульдозеры, мощность 79 кВт (108 л.с.)</t>
        </is>
      </c>
      <c r="E64" s="258" t="inlineStr">
        <is>
          <t>маш.-ч.</t>
        </is>
      </c>
      <c r="F64" s="258" t="n">
        <v>50.083261525205</v>
      </c>
      <c r="G64" s="139" t="n">
        <v>92.84</v>
      </c>
      <c r="H64" s="139">
        <f>ROUND(F64*G64,2)</f>
        <v/>
      </c>
      <c r="I64" s="136" t="n"/>
      <c r="J64" s="136" t="n"/>
      <c r="K64" s="136" t="n"/>
    </row>
    <row r="65" ht="31.5" customHeight="1" s="209">
      <c r="A65" s="258" t="n">
        <v>51</v>
      </c>
      <c r="B65" s="157" t="n"/>
      <c r="C65" s="231" t="inlineStr">
        <is>
          <t>91.13.03-111</t>
        </is>
      </c>
      <c r="D65" s="259" t="inlineStr">
        <is>
          <t>Спецавтомобили-вездеходы, грузоподъемность до 8 т</t>
        </is>
      </c>
      <c r="E65" s="258" t="inlineStr">
        <is>
          <t>маш.-ч.</t>
        </is>
      </c>
      <c r="F65" s="258" t="n">
        <v>12.879764160876</v>
      </c>
      <c r="G65" s="139" t="n">
        <v>189.96</v>
      </c>
      <c r="H65" s="139">
        <f>ROUND(F65*G65,2)</f>
        <v/>
      </c>
      <c r="I65" s="136" t="n"/>
      <c r="J65" s="136" t="n"/>
      <c r="K65" s="136" t="n"/>
    </row>
    <row r="66" ht="47.25" customHeight="1" s="209">
      <c r="A66" s="258" t="n">
        <v>52</v>
      </c>
      <c r="B66" s="157" t="n"/>
      <c r="C66" s="231" t="inlineStr">
        <is>
          <t>91.07.07-002</t>
        </is>
      </c>
      <c r="D66" s="259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E66" s="258" t="inlineStr">
        <is>
          <t>маш.-ч.</t>
        </is>
      </c>
      <c r="F66" s="258" t="n">
        <v>151.54592979836</v>
      </c>
      <c r="G66" s="139" t="n">
        <v>13.39</v>
      </c>
      <c r="H66" s="139">
        <f>ROUND(F66*G66,2)</f>
        <v/>
      </c>
      <c r="I66" s="136" t="n"/>
      <c r="J66" s="136" t="n"/>
      <c r="K66" s="136" t="n"/>
    </row>
    <row r="67">
      <c r="A67" s="258" t="n">
        <v>53</v>
      </c>
      <c r="B67" s="157" t="n"/>
      <c r="C67" s="231" t="inlineStr">
        <is>
          <t>91.21.16-012</t>
        </is>
      </c>
      <c r="D67" s="259" t="inlineStr">
        <is>
          <t>Прессы гидравлические с электроприводом</t>
        </is>
      </c>
      <c r="E67" s="258" t="inlineStr">
        <is>
          <t>маш.-ч.</t>
        </is>
      </c>
      <c r="F67" s="258" t="n">
        <v>1664.347826087</v>
      </c>
      <c r="G67" s="139" t="n">
        <v>1.15</v>
      </c>
      <c r="H67" s="139">
        <f>ROUND(F67*G67,2)</f>
        <v/>
      </c>
      <c r="I67" s="136" t="n"/>
      <c r="J67" s="136" t="n"/>
      <c r="K67" s="136" t="n"/>
    </row>
    <row r="68">
      <c r="A68" s="258" t="n">
        <v>54</v>
      </c>
      <c r="B68" s="157" t="n"/>
      <c r="C68" s="231" t="inlineStr">
        <is>
          <t>91.08.04-021</t>
        </is>
      </c>
      <c r="D68" s="259" t="inlineStr">
        <is>
          <t>Котлы битумные передвижные 400 л</t>
        </is>
      </c>
      <c r="E68" s="258" t="inlineStr">
        <is>
          <t>маш.-ч.</t>
        </is>
      </c>
      <c r="F68" s="258" t="n">
        <v>58.780333333333</v>
      </c>
      <c r="G68" s="139" t="n">
        <v>30</v>
      </c>
      <c r="H68" s="139">
        <f>ROUND(F68*G68,2)</f>
        <v/>
      </c>
      <c r="I68" s="136" t="n"/>
      <c r="J68" s="136" t="n"/>
      <c r="K68" s="136" t="n"/>
    </row>
    <row r="69">
      <c r="A69" s="258" t="n">
        <v>55</v>
      </c>
      <c r="B69" s="157" t="n"/>
      <c r="C69" s="231" t="inlineStr">
        <is>
          <t>91.14.02-002</t>
        </is>
      </c>
      <c r="D69" s="259" t="inlineStr">
        <is>
          <t>Автомобили бортовые, грузоподъемность до 8 т</t>
        </is>
      </c>
      <c r="E69" s="258" t="inlineStr">
        <is>
          <t>маш.-ч.</t>
        </is>
      </c>
      <c r="F69" s="258" t="n">
        <v>16.826502095948</v>
      </c>
      <c r="G69" s="139" t="n">
        <v>85.88</v>
      </c>
      <c r="H69" s="139">
        <f>ROUND(F69*G69,2)</f>
        <v/>
      </c>
      <c r="I69" s="136" t="n"/>
      <c r="J69" s="136" t="n"/>
      <c r="K69" s="136" t="n"/>
    </row>
    <row r="70">
      <c r="A70" s="258" t="n">
        <v>56</v>
      </c>
      <c r="B70" s="157" t="n"/>
      <c r="C70" s="231" t="inlineStr">
        <is>
          <t>91.06.05-011</t>
        </is>
      </c>
      <c r="D70" s="259" t="inlineStr">
        <is>
          <t>Погрузчики, грузоподъемность 5 т</t>
        </is>
      </c>
      <c r="E70" s="258" t="inlineStr">
        <is>
          <t>маш.-ч.</t>
        </is>
      </c>
      <c r="F70" s="258" t="n">
        <v>10.753888888889</v>
      </c>
      <c r="G70" s="139" t="n">
        <v>90</v>
      </c>
      <c r="H70" s="139">
        <f>ROUND(F70*G70,2)</f>
        <v/>
      </c>
      <c r="I70" s="136" t="n"/>
      <c r="J70" s="136" t="n"/>
      <c r="K70" s="136" t="n"/>
    </row>
    <row r="71" ht="31.5" customHeight="1" s="209">
      <c r="A71" s="258" t="n">
        <v>57</v>
      </c>
      <c r="B71" s="157" t="n"/>
      <c r="C71" s="231" t="inlineStr">
        <is>
          <t>91.14.05-011</t>
        </is>
      </c>
      <c r="D71" s="259" t="inlineStr">
        <is>
          <t>Полуприцепы общего назначения, грузоподъемность 12 т</t>
        </is>
      </c>
      <c r="E71" s="258" t="inlineStr">
        <is>
          <t>маш.-ч.</t>
        </is>
      </c>
      <c r="F71" s="258" t="n">
        <v>66.751388888889</v>
      </c>
      <c r="G71" s="139" t="n">
        <v>14.4</v>
      </c>
      <c r="H71" s="139">
        <f>ROUND(F71*G71,2)</f>
        <v/>
      </c>
      <c r="I71" s="136" t="n"/>
      <c r="J71" s="136" t="n"/>
      <c r="K71" s="136" t="n"/>
    </row>
    <row r="72" ht="31.5" customHeight="1" s="209">
      <c r="A72" s="258" t="n">
        <v>58</v>
      </c>
      <c r="B72" s="157" t="n"/>
      <c r="C72" s="231" t="inlineStr">
        <is>
          <t>91.19.04-004</t>
        </is>
      </c>
      <c r="D72" s="259" t="inlineStr">
        <is>
          <t>Насосы для нагнетания воды, содержащей твердые частицы, подача 45 м3/ч, напор до 55 м</t>
        </is>
      </c>
      <c r="E72" s="258" t="inlineStr">
        <is>
          <t>маш.-ч.</t>
        </is>
      </c>
      <c r="F72" s="258" t="n">
        <v>65.35561268209101</v>
      </c>
      <c r="G72" s="139" t="n">
        <v>11.67</v>
      </c>
      <c r="H72" s="139">
        <f>ROUND(F72*G72,2)</f>
        <v/>
      </c>
      <c r="I72" s="136" t="n"/>
      <c r="J72" s="136" t="n"/>
      <c r="K72" s="136" t="n"/>
    </row>
    <row r="73">
      <c r="A73" s="258" t="n">
        <v>59</v>
      </c>
      <c r="B73" s="157" t="n"/>
      <c r="C73" s="231" t="inlineStr">
        <is>
          <t>91.07.04-001</t>
        </is>
      </c>
      <c r="D73" s="259" t="inlineStr">
        <is>
          <t>Вибраторы глубинные</t>
        </is>
      </c>
      <c r="E73" s="258" t="inlineStr">
        <is>
          <t>маш.-ч.</t>
        </is>
      </c>
      <c r="F73" s="258" t="n">
        <v>296.41203703704</v>
      </c>
      <c r="G73" s="139" t="n">
        <v>2.16</v>
      </c>
      <c r="H73" s="139">
        <f>ROUND(F73*G73,2)</f>
        <v/>
      </c>
      <c r="I73" s="136" t="n"/>
      <c r="J73" s="136" t="n"/>
      <c r="K73" s="136" t="n"/>
    </row>
    <row r="74" ht="31.5" customHeight="1" s="209">
      <c r="A74" s="258" t="n">
        <v>60</v>
      </c>
      <c r="B74" s="157" t="n"/>
      <c r="C74" s="231" t="inlineStr">
        <is>
          <t>91.08.09-024</t>
        </is>
      </c>
      <c r="D74" s="259" t="inlineStr">
        <is>
          <t>Трамбовки пневматические при работе от стационарного компрессора</t>
        </is>
      </c>
      <c r="E74" s="258" t="inlineStr">
        <is>
          <t>маш.-ч.</t>
        </is>
      </c>
      <c r="F74" s="258" t="n">
        <v>19.197556008147</v>
      </c>
      <c r="G74" s="139" t="n">
        <v>4.91</v>
      </c>
      <c r="H74" s="139">
        <f>ROUND(F74*G74,2)</f>
        <v/>
      </c>
      <c r="I74" s="136" t="n"/>
      <c r="J74" s="136" t="n"/>
      <c r="K74" s="136" t="n"/>
    </row>
    <row r="75" ht="31.5" customHeight="1" s="209">
      <c r="A75" s="258" t="n">
        <v>61</v>
      </c>
      <c r="B75" s="157" t="n"/>
      <c r="C75" s="231" t="inlineStr">
        <is>
          <t>91.14.03-001</t>
        </is>
      </c>
      <c r="D75" s="259" t="inlineStr">
        <is>
          <t>Автомобили-самосвалы, грузоподъемность до 7 т</t>
        </is>
      </c>
      <c r="E75" s="258" t="inlineStr">
        <is>
          <t>маш.-ч.</t>
        </is>
      </c>
      <c r="F75" s="258" t="n">
        <v>0.44799463747067</v>
      </c>
      <c r="G75" s="139" t="n">
        <v>89.51000000000001</v>
      </c>
      <c r="H75" s="139">
        <f>ROUND(F75*G75,2)</f>
        <v/>
      </c>
      <c r="I75" s="136" t="n"/>
      <c r="J75" s="136" t="n"/>
      <c r="K75" s="136" t="n"/>
    </row>
    <row r="76">
      <c r="A76" s="257" t="inlineStr">
        <is>
          <t>Оборудование</t>
        </is>
      </c>
      <c r="B76" s="288" t="n"/>
      <c r="C76" s="288" t="n"/>
      <c r="D76" s="288" t="n"/>
      <c r="E76" s="289" t="n"/>
      <c r="F76" s="257" t="n"/>
      <c r="G76" s="135" t="n"/>
      <c r="H76" s="135" t="n">
        <v>0</v>
      </c>
      <c r="J76" s="150" t="n"/>
    </row>
    <row r="77">
      <c r="A77" s="257" t="inlineStr">
        <is>
          <t>Материалы</t>
        </is>
      </c>
      <c r="B77" s="288" t="n"/>
      <c r="C77" s="288" t="n"/>
      <c r="D77" s="288" t="n"/>
      <c r="E77" s="289" t="n"/>
      <c r="F77" s="257" t="n"/>
      <c r="G77" s="135" t="n"/>
      <c r="H77" s="135">
        <f>SUM(H78:H156)</f>
        <v/>
      </c>
      <c r="J77" s="150" t="n"/>
    </row>
    <row r="78">
      <c r="A78" s="258" t="n">
        <v>62</v>
      </c>
      <c r="B78" s="158" t="n"/>
      <c r="C78" s="259" t="inlineStr">
        <is>
          <t>Прайс из СД ОП</t>
        </is>
      </c>
      <c r="D78" s="259" t="inlineStr">
        <is>
          <t>Свая-оболочка для многогранных опор</t>
        </is>
      </c>
      <c r="E78" s="258" t="inlineStr">
        <is>
          <t>т</t>
        </is>
      </c>
      <c r="F78" s="258" t="n">
        <v>8548.968000000001</v>
      </c>
      <c r="G78" s="139" t="n">
        <v>23728.72</v>
      </c>
      <c r="H78" s="139">
        <f>ROUND(F78*G78,2)</f>
        <v/>
      </c>
      <c r="J78" s="219" t="n"/>
    </row>
    <row r="79" ht="63" customHeight="1" s="209">
      <c r="A79" s="258" t="n">
        <v>63</v>
      </c>
      <c r="B79" s="158" t="n"/>
      <c r="C79" s="259" t="inlineStr">
        <is>
          <t>23.5.02.01-0002</t>
        </is>
      </c>
      <c r="D79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E79" s="258" t="inlineStr">
        <is>
          <t>м</t>
        </is>
      </c>
      <c r="F79" s="258" t="n">
        <v>8356.419599999999</v>
      </c>
      <c r="G79" s="139" t="n">
        <v>4006.39</v>
      </c>
      <c r="H79" s="139">
        <f>ROUND(F79*G79,2)</f>
        <v/>
      </c>
    </row>
    <row r="80" ht="63" customHeight="1" s="209">
      <c r="A80" s="258" t="n">
        <v>64</v>
      </c>
      <c r="B80" s="158" t="n"/>
      <c r="C80" s="259" t="inlineStr">
        <is>
          <t>23.5.02.01-0008</t>
        </is>
      </c>
      <c r="D80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E80" s="258" t="inlineStr">
        <is>
          <t>м</t>
        </is>
      </c>
      <c r="F80" s="258" t="n">
        <v>154.4598</v>
      </c>
      <c r="G80" s="139" t="n">
        <v>4559.76</v>
      </c>
      <c r="H80" s="139">
        <f>ROUND(F80*G80,2)</f>
        <v/>
      </c>
    </row>
    <row r="81" ht="63" customHeight="1" s="209">
      <c r="A81" s="258" t="n">
        <v>65</v>
      </c>
      <c r="B81" s="158" t="n"/>
      <c r="C81" s="259" t="inlineStr">
        <is>
          <t>23.5.02.01-0027</t>
        </is>
      </c>
      <c r="D81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E81" s="258" t="inlineStr">
        <is>
          <t>м</t>
        </is>
      </c>
      <c r="F81" s="258" t="n">
        <v>1146.2772</v>
      </c>
      <c r="G81" s="139" t="n">
        <v>8701.52</v>
      </c>
      <c r="H81" s="139">
        <f>ROUND(F81*G81,2)</f>
        <v/>
      </c>
    </row>
    <row r="82" ht="15" customHeight="1" s="209">
      <c r="A82" s="258" t="n">
        <v>66</v>
      </c>
      <c r="B82" s="158" t="n"/>
      <c r="C82" s="259" t="inlineStr">
        <is>
          <t>22.2.01.03-0001</t>
        </is>
      </c>
      <c r="D82" s="259" t="inlineStr">
        <is>
          <t>Изолятор подвесной стеклянный ПСВ-120Б</t>
        </is>
      </c>
      <c r="E82" s="258" t="inlineStr">
        <is>
          <t>шт</t>
        </is>
      </c>
      <c r="F82" s="258" t="n">
        <v>154104</v>
      </c>
      <c r="G82" s="139" t="n">
        <v>202.55</v>
      </c>
      <c r="H82" s="139">
        <f>ROUND(F82*G82,2)</f>
        <v/>
      </c>
    </row>
    <row r="83">
      <c r="A83" s="258" t="n">
        <v>67</v>
      </c>
      <c r="B83" s="158" t="n"/>
      <c r="C83" s="259" t="inlineStr">
        <is>
          <t>20.1.01.12-0024</t>
        </is>
      </c>
      <c r="D83" s="259" t="inlineStr">
        <is>
          <t>Зажим поддерживающий глухой ПГН-8-6</t>
        </is>
      </c>
      <c r="E83" s="258" t="inlineStr">
        <is>
          <t>шт</t>
        </is>
      </c>
      <c r="F83" s="258" t="n">
        <v>14468</v>
      </c>
      <c r="G83" s="139" t="n">
        <v>542.0599999999999</v>
      </c>
      <c r="H83" s="139">
        <f>ROUND(F83*G83,2)</f>
        <v/>
      </c>
    </row>
    <row r="84">
      <c r="A84" s="258" t="n">
        <v>68</v>
      </c>
      <c r="B84" s="158" t="n"/>
      <c r="C84" s="259" t="inlineStr">
        <is>
          <t>20.1.01.12-0024</t>
        </is>
      </c>
      <c r="D84" s="259" t="inlineStr">
        <is>
          <t>Зажим поддерживающий глухой ПГН-8-6</t>
        </is>
      </c>
      <c r="E84" s="258" t="inlineStr">
        <is>
          <t>шт</t>
        </is>
      </c>
      <c r="F84" s="258" t="n">
        <v>13565.04</v>
      </c>
      <c r="G84" s="139" t="n">
        <v>542.0599999999999</v>
      </c>
      <c r="H84" s="139">
        <f>ROUND(F84*G84,2)</f>
        <v/>
      </c>
    </row>
    <row r="85" ht="15" customHeight="1" s="209">
      <c r="A85" s="258" t="n">
        <v>69</v>
      </c>
      <c r="B85" s="158" t="n"/>
      <c r="C85" s="259" t="inlineStr">
        <is>
          <t>20.1.01.15-0002</t>
        </is>
      </c>
      <c r="D85" s="259" t="inlineStr">
        <is>
          <t>Зажим 2-х клиновой стальной диаметром 20-22,5 мм</t>
        </is>
      </c>
      <c r="E85" s="258" t="inlineStr">
        <is>
          <t>шт</t>
        </is>
      </c>
      <c r="F85" s="258" t="n">
        <v>1010.94</v>
      </c>
      <c r="G85" s="139" t="n">
        <v>3112.46</v>
      </c>
      <c r="H85" s="139">
        <f>ROUND(F85*G85,2)</f>
        <v/>
      </c>
    </row>
    <row r="86" ht="31.5" customHeight="1" s="209">
      <c r="A86" s="258" t="n">
        <v>70</v>
      </c>
      <c r="B86" s="158" t="n"/>
      <c r="C86" s="259" t="inlineStr">
        <is>
          <t>04.3.02.13-0003</t>
        </is>
      </c>
      <c r="D86" s="259" t="inlineStr">
        <is>
          <t>Смеси цементно-песчаные для устройства высокопрочных полов, М400</t>
        </is>
      </c>
      <c r="E86" s="258" t="inlineStr">
        <is>
          <t>т</t>
        </is>
      </c>
      <c r="F86" s="258" t="n">
        <v>21038.212</v>
      </c>
      <c r="G86" s="139" t="n">
        <v>155.89</v>
      </c>
      <c r="H86" s="139">
        <f>ROUND(F86*G86,2)</f>
        <v/>
      </c>
    </row>
    <row r="87">
      <c r="A87" s="258" t="n">
        <v>71</v>
      </c>
      <c r="B87" s="158" t="n"/>
      <c r="C87" s="259" t="inlineStr">
        <is>
          <t>01.4.01.09-0005</t>
        </is>
      </c>
      <c r="D87" s="259" t="inlineStr">
        <is>
          <t>Расширитель шарошечный 870С</t>
        </is>
      </c>
      <c r="E87" s="258" t="inlineStr">
        <is>
          <t>шт</t>
        </is>
      </c>
      <c r="F87" s="258" t="n">
        <v>48</v>
      </c>
      <c r="G87" s="139" t="n">
        <v>74060.16</v>
      </c>
      <c r="H87" s="139">
        <f>ROUND(F87*G87,2)</f>
        <v/>
      </c>
    </row>
    <row r="88">
      <c r="A88" s="258" t="n">
        <v>72</v>
      </c>
      <c r="B88" s="158" t="n"/>
      <c r="C88" s="259" t="inlineStr">
        <is>
          <t>01.4.01.09-0005</t>
        </is>
      </c>
      <c r="D88" s="259" t="inlineStr">
        <is>
          <t>Расширитель шарошечный 870С</t>
        </is>
      </c>
      <c r="E88" s="258" t="inlineStr">
        <is>
          <t>шт</t>
        </is>
      </c>
      <c r="F88" s="258" t="n">
        <v>12.5865</v>
      </c>
      <c r="G88" s="139" t="n">
        <v>74060.16</v>
      </c>
      <c r="H88" s="139">
        <f>ROUND(F88*G88,2)</f>
        <v/>
      </c>
    </row>
    <row r="89">
      <c r="A89" s="258" t="n">
        <v>73</v>
      </c>
      <c r="B89" s="158" t="n"/>
      <c r="C89" s="259" t="inlineStr">
        <is>
          <t>01.4.01.09-0006</t>
        </is>
      </c>
      <c r="D89" s="259" t="inlineStr">
        <is>
          <t>Расширитель шарошечный 960С</t>
        </is>
      </c>
      <c r="E89" s="258" t="inlineStr">
        <is>
          <t>шт</t>
        </is>
      </c>
      <c r="F89" s="258" t="n">
        <v>5.4981</v>
      </c>
      <c r="G89" s="139" t="n">
        <v>104993.98</v>
      </c>
      <c r="H89" s="139">
        <f>ROUND(F89*G89,2)</f>
        <v/>
      </c>
    </row>
    <row r="90">
      <c r="A90" s="258" t="n">
        <v>74</v>
      </c>
      <c r="B90" s="158" t="n"/>
      <c r="C90" s="259" t="inlineStr">
        <is>
          <t>01.4.01.09-0007</t>
        </is>
      </c>
      <c r="D90" s="259" t="inlineStr">
        <is>
          <t>Расширитель шарошечный 1160М</t>
        </is>
      </c>
      <c r="E90" s="258" t="inlineStr">
        <is>
          <t>шт</t>
        </is>
      </c>
      <c r="F90" s="258" t="n">
        <v>2.5101</v>
      </c>
      <c r="G90" s="139" t="n">
        <v>106863.3</v>
      </c>
      <c r="H90" s="139">
        <f>ROUND(F90*G90,2)</f>
        <v/>
      </c>
    </row>
    <row r="91">
      <c r="A91" s="258" t="n">
        <v>75</v>
      </c>
      <c r="B91" s="158" t="n"/>
      <c r="C91" s="259" t="n"/>
      <c r="D91" s="259" t="inlineStr">
        <is>
          <t>Итого основные материалы</t>
        </is>
      </c>
      <c r="E91" s="258" t="n"/>
      <c r="F91" s="258" t="n"/>
      <c r="G91" s="139" t="n"/>
      <c r="H91" s="139">
        <f>ROUND(F91*G91,2)</f>
        <v/>
      </c>
    </row>
    <row r="92" ht="31.5" customHeight="1" s="209">
      <c r="A92" s="258" t="n">
        <v>76</v>
      </c>
      <c r="B92" s="158" t="n"/>
      <c r="C92" s="259" t="inlineStr">
        <is>
          <t>22.2.02.03-0001</t>
        </is>
      </c>
      <c r="D92" s="259" t="inlineStr">
        <is>
          <t>Детали закладные фундаментов одноствольных мачт и фидерных опор</t>
        </is>
      </c>
      <c r="E92" s="258" t="inlineStr">
        <is>
          <t>т</t>
        </is>
      </c>
      <c r="F92" s="258" t="n">
        <v>106.158</v>
      </c>
      <c r="G92" s="139" t="n">
        <v>14791.7</v>
      </c>
      <c r="H92" s="139">
        <f>ROUND(F92*G92,2)</f>
        <v/>
      </c>
    </row>
    <row r="93" ht="31.5" customHeight="1" s="209">
      <c r="A93" s="258" t="n">
        <v>77</v>
      </c>
      <c r="B93" s="158" t="n"/>
      <c r="C93" s="259" t="inlineStr">
        <is>
          <t>04.1.02.05-0046</t>
        </is>
      </c>
      <c r="D93" s="259" t="inlineStr">
        <is>
          <t>Смеси бетонные тяжелого бетона (БСТ), крупность заполнителя 20 мм, класс В25 (М350)</t>
        </is>
      </c>
      <c r="E93" s="258" t="inlineStr">
        <is>
          <t>м3</t>
        </is>
      </c>
      <c r="F93" s="258" t="n">
        <v>1298.19375</v>
      </c>
      <c r="G93" s="139" t="n">
        <v>720</v>
      </c>
      <c r="H93" s="139">
        <f>ROUND(F93*G93,2)</f>
        <v/>
      </c>
    </row>
    <row r="94">
      <c r="A94" s="258" t="n">
        <v>78</v>
      </c>
      <c r="B94" s="158" t="n"/>
      <c r="C94" s="259" t="inlineStr">
        <is>
          <t>22.2.02.01-0029</t>
        </is>
      </c>
      <c r="D94" s="259" t="inlineStr">
        <is>
          <t>Гаситель вибрации ГВУ-3,2-4</t>
        </is>
      </c>
      <c r="E94" s="258" t="inlineStr">
        <is>
          <t>шт</t>
        </is>
      </c>
      <c r="F94" s="258" t="n">
        <v>4140</v>
      </c>
      <c r="G94" s="139" t="n">
        <v>180.08</v>
      </c>
      <c r="H94" s="139">
        <f>ROUND(F94*G94,2)</f>
        <v/>
      </c>
    </row>
    <row r="95" ht="47.25" customHeight="1" s="209">
      <c r="A95" s="258" t="n">
        <v>79</v>
      </c>
      <c r="B95" s="158" t="n"/>
      <c r="C95" s="259" t="inlineStr">
        <is>
          <t>05.1.01.09-0031</t>
        </is>
      </c>
      <c r="D95" s="259" t="inlineStr">
        <is>
          <t>Кольца железобетонные для смотровых колодцев водопроводных и канализационных сетей</t>
        </is>
      </c>
      <c r="E95" s="258" t="inlineStr">
        <is>
          <t>м3</t>
        </is>
      </c>
      <c r="F95" s="258" t="n">
        <v>244.944</v>
      </c>
      <c r="G95" s="139" t="n">
        <v>1841.02</v>
      </c>
      <c r="H95" s="139">
        <f>ROUND(F95*G95,2)</f>
        <v/>
      </c>
    </row>
    <row r="96">
      <c r="A96" s="258" t="n">
        <v>80</v>
      </c>
      <c r="B96" s="158" t="n"/>
      <c r="C96" s="259" t="inlineStr">
        <is>
          <t>20.1.02.21-0037</t>
        </is>
      </c>
      <c r="D96" s="259" t="inlineStr">
        <is>
          <t>Узел крепления КГН-16-5</t>
        </is>
      </c>
      <c r="E96" s="258" t="inlineStr">
        <is>
          <t>шт</t>
        </is>
      </c>
      <c r="F96" s="258" t="n">
        <v>1163</v>
      </c>
      <c r="G96" s="139" t="n">
        <v>326.1</v>
      </c>
      <c r="H96" s="139">
        <f>ROUND(F96*G96,2)</f>
        <v/>
      </c>
    </row>
    <row r="97">
      <c r="A97" s="258" t="n">
        <v>81</v>
      </c>
      <c r="B97" s="158" t="n"/>
      <c r="C97" s="259" t="inlineStr">
        <is>
          <t>20.1.02.05-0012</t>
        </is>
      </c>
      <c r="D97" s="259" t="inlineStr">
        <is>
          <t>Коромысло: универсальное 2КУ-12-2</t>
        </is>
      </c>
      <c r="E97" s="258" t="inlineStr">
        <is>
          <t>шт</t>
        </is>
      </c>
      <c r="F97" s="258" t="n">
        <v>581</v>
      </c>
      <c r="G97" s="139" t="n">
        <v>508.52</v>
      </c>
      <c r="H97" s="139">
        <f>ROUND(F97*G97,2)</f>
        <v/>
      </c>
    </row>
    <row r="98">
      <c r="A98" s="258" t="n">
        <v>82</v>
      </c>
      <c r="B98" s="158" t="n"/>
      <c r="C98" s="259" t="inlineStr">
        <is>
          <t>22.2.02.04-0010</t>
        </is>
      </c>
      <c r="D98" s="259" t="inlineStr">
        <is>
          <t>Звено промежуточное монтажное ПТМ-12-3А</t>
        </is>
      </c>
      <c r="E98" s="258" t="inlineStr">
        <is>
          <t>шт</t>
        </is>
      </c>
      <c r="F98" s="258" t="n">
        <v>5061</v>
      </c>
      <c r="G98" s="139" t="n">
        <v>57.95</v>
      </c>
      <c r="H98" s="139">
        <f>ROUND(F98*G98,2)</f>
        <v/>
      </c>
    </row>
    <row r="99" ht="47.25" customHeight="1" s="209">
      <c r="A99" s="258" t="n">
        <v>83</v>
      </c>
      <c r="B99" s="158" t="n"/>
      <c r="C99" s="259" t="inlineStr">
        <is>
          <t>23.3.01.04-0035</t>
        </is>
      </c>
      <c r="D99" s="259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E99" s="258" t="inlineStr">
        <is>
          <t>м</t>
        </is>
      </c>
      <c r="F99" s="258" t="n">
        <v>656.844009</v>
      </c>
      <c r="G99" s="139" t="n">
        <v>427.31</v>
      </c>
      <c r="H99" s="139">
        <f>ROUND(F99*G99,2)</f>
        <v/>
      </c>
    </row>
    <row r="100">
      <c r="A100" s="258" t="n">
        <v>84</v>
      </c>
      <c r="B100" s="158" t="n"/>
      <c r="C100" s="259" t="inlineStr">
        <is>
          <t>01.7.15.10-0032</t>
        </is>
      </c>
      <c r="D100" s="259" t="inlineStr">
        <is>
          <t>Скобы СК-12-1А</t>
        </is>
      </c>
      <c r="E100" s="258" t="inlineStr">
        <is>
          <t>шт</t>
        </is>
      </c>
      <c r="F100" s="258" t="n">
        <v>5043</v>
      </c>
      <c r="G100" s="139" t="n">
        <v>54.7</v>
      </c>
      <c r="H100" s="139">
        <f>ROUND(F100*G100,2)</f>
        <v/>
      </c>
    </row>
    <row r="101">
      <c r="A101" s="258" t="n">
        <v>85</v>
      </c>
      <c r="B101" s="158" t="n"/>
      <c r="C101" s="259" t="inlineStr">
        <is>
          <t>22.2.02.04-0022</t>
        </is>
      </c>
      <c r="D101" s="259" t="inlineStr">
        <is>
          <t>Звено промежуточное прямое ПР-12-6</t>
        </is>
      </c>
      <c r="E101" s="258" t="inlineStr">
        <is>
          <t>шт</t>
        </is>
      </c>
      <c r="F101" s="258" t="n">
        <v>5061</v>
      </c>
      <c r="G101" s="139" t="n">
        <v>42.05</v>
      </c>
      <c r="H101" s="139">
        <f>ROUND(F101*G101,2)</f>
        <v/>
      </c>
    </row>
    <row r="102" ht="47.25" customHeight="1" s="209">
      <c r="A102" s="258" t="n">
        <v>86</v>
      </c>
      <c r="B102" s="158" t="n"/>
      <c r="C102" s="259" t="inlineStr">
        <is>
          <t>08.4.03.03-0036</t>
        </is>
      </c>
      <c r="D102" s="259" t="inlineStr">
        <is>
          <t>Сталь арматурная, горячекатаная, периодического профиля, класс А-III, диаметр 25-28 мм</t>
        </is>
      </c>
      <c r="E102" s="258" t="inlineStr">
        <is>
          <t>т</t>
        </is>
      </c>
      <c r="F102" s="258" t="n">
        <v>24.778</v>
      </c>
      <c r="G102" s="139" t="n">
        <v>7792.12</v>
      </c>
      <c r="H102" s="139">
        <f>ROUND(F102*G102,2)</f>
        <v/>
      </c>
    </row>
    <row r="103" ht="47.25" customHeight="1" s="209">
      <c r="A103" s="258" t="n">
        <v>87</v>
      </c>
      <c r="B103" s="158" t="n"/>
      <c r="C103" s="259" t="inlineStr">
        <is>
          <t>23.3.01.04-0074</t>
        </is>
      </c>
      <c r="D103" s="259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103" s="258" t="inlineStr">
        <is>
          <t>м</t>
        </is>
      </c>
      <c r="F103" s="258" t="n">
        <v>185.45625</v>
      </c>
      <c r="G103" s="139" t="n">
        <v>1001.33</v>
      </c>
      <c r="H103" s="139">
        <f>ROUND(F103*G103,2)</f>
        <v/>
      </c>
    </row>
    <row r="104" ht="31.5" customHeight="1" s="209">
      <c r="A104" s="258" t="n">
        <v>88</v>
      </c>
      <c r="B104" s="158" t="n"/>
      <c r="C104" s="259" t="inlineStr">
        <is>
          <t>Прайс из СД ОП</t>
        </is>
      </c>
      <c r="D104" s="259" t="inlineStr">
        <is>
          <t>Протектор шлейфовый спиральный ПЗС-Т-24,1-13 (500)</t>
        </is>
      </c>
      <c r="E104" s="258" t="inlineStr">
        <is>
          <t>шт</t>
        </is>
      </c>
      <c r="F104" s="258" t="n">
        <v>4140</v>
      </c>
      <c r="G104" s="139" t="n">
        <v>44.34</v>
      </c>
      <c r="H104" s="139">
        <f>ROUND(F104*G104,2)</f>
        <v/>
      </c>
    </row>
    <row r="105">
      <c r="A105" s="258" t="n">
        <v>89</v>
      </c>
      <c r="B105" s="158" t="n"/>
      <c r="C105" s="259" t="inlineStr">
        <is>
          <t>Прайс из СД ОП</t>
        </is>
      </c>
      <c r="D105" s="259" t="inlineStr">
        <is>
          <t>Ушко специальное укороченное УСК-12-16</t>
        </is>
      </c>
      <c r="E105" s="258" t="inlineStr">
        <is>
          <t>шт.</t>
        </is>
      </c>
      <c r="F105" s="258" t="n">
        <v>1163</v>
      </c>
      <c r="G105" s="139" t="n">
        <v>153.54</v>
      </c>
      <c r="H105" s="139">
        <f>ROUND(F105*G105,2)</f>
        <v/>
      </c>
    </row>
    <row r="106">
      <c r="A106" s="258" t="n">
        <v>90</v>
      </c>
      <c r="B106" s="158" t="n"/>
      <c r="C106" s="259" t="inlineStr">
        <is>
          <t>Прайс из СД ОП</t>
        </is>
      </c>
      <c r="D106" s="259" t="inlineStr">
        <is>
          <t>Звено промежуточное регулируемое ПРР-12-1А</t>
        </is>
      </c>
      <c r="E106" s="258" t="inlineStr">
        <is>
          <t>шт.</t>
        </is>
      </c>
      <c r="F106" s="258" t="n">
        <v>1181</v>
      </c>
      <c r="G106" s="139" t="n">
        <v>144.32</v>
      </c>
      <c r="H106" s="139">
        <f>ROUND(F106*G106,2)</f>
        <v/>
      </c>
    </row>
    <row r="107">
      <c r="A107" s="258" t="n">
        <v>91</v>
      </c>
      <c r="B107" s="158" t="n"/>
      <c r="C107" s="259" t="inlineStr">
        <is>
          <t>Прайс из СД ОП</t>
        </is>
      </c>
      <c r="D107" s="259" t="inlineStr">
        <is>
          <t>Узел крепления КГП-16-3</t>
        </is>
      </c>
      <c r="E107" s="258" t="inlineStr">
        <is>
          <t>шт.</t>
        </is>
      </c>
      <c r="F107" s="258" t="n">
        <v>3880</v>
      </c>
      <c r="G107" s="139" t="n">
        <v>38.6</v>
      </c>
      <c r="H107" s="139">
        <f>ROUND(F107*G107,2)</f>
        <v/>
      </c>
    </row>
    <row r="108" ht="31.5" customHeight="1" s="209">
      <c r="A108" s="258" t="n">
        <v>92</v>
      </c>
      <c r="B108" s="158" t="n"/>
      <c r="C108" s="259" t="inlineStr">
        <is>
          <t>08.4.03.02-0006</t>
        </is>
      </c>
      <c r="D108" s="259" t="inlineStr">
        <is>
          <t>Сталь арматурная, горячекатаная, гладкая, класс А-I, диаметр 16-18 мм</t>
        </is>
      </c>
      <c r="E108" s="258" t="inlineStr">
        <is>
          <t>т</t>
        </is>
      </c>
      <c r="F108" s="258" t="n">
        <v>23.8</v>
      </c>
      <c r="G108" s="139" t="n">
        <v>5650</v>
      </c>
      <c r="H108" s="139">
        <f>ROUND(F108*G108,2)</f>
        <v/>
      </c>
    </row>
    <row r="109">
      <c r="A109" s="258" t="n">
        <v>93</v>
      </c>
      <c r="B109" s="158" t="n"/>
      <c r="C109" s="259" t="inlineStr">
        <is>
          <t>Прайс из СД ОП</t>
        </is>
      </c>
      <c r="D109" s="259" t="inlineStr">
        <is>
          <t>Серьга СР-12-16</t>
        </is>
      </c>
      <c r="E109" s="258" t="inlineStr">
        <is>
          <t>шт.</t>
        </is>
      </c>
      <c r="F109" s="258" t="n">
        <v>5080</v>
      </c>
      <c r="G109" s="139" t="n">
        <v>25.35</v>
      </c>
      <c r="H109" s="139">
        <f>ROUND(F109*G109,2)</f>
        <v/>
      </c>
    </row>
    <row r="110" ht="47.25" customHeight="1" s="209">
      <c r="A110" s="258" t="n">
        <v>94</v>
      </c>
      <c r="B110" s="158" t="n"/>
      <c r="C110" s="259" t="inlineStr">
        <is>
          <t>08.4.03.03-0035</t>
        </is>
      </c>
      <c r="D110" s="259" t="inlineStr">
        <is>
          <t>Сталь арматурная, горячекатаная, периодического профиля, класс А-III, диаметр 20-22 мм</t>
        </is>
      </c>
      <c r="E110" s="258" t="inlineStr">
        <is>
          <t>т</t>
        </is>
      </c>
      <c r="F110" s="258" t="n">
        <v>13.256</v>
      </c>
      <c r="G110" s="139" t="n">
        <v>7917</v>
      </c>
      <c r="H110" s="139">
        <f>ROUND(F110*G110,2)</f>
        <v/>
      </c>
    </row>
    <row r="111">
      <c r="A111" s="258" t="n">
        <v>95</v>
      </c>
      <c r="B111" s="158" t="n"/>
      <c r="C111" s="259" t="inlineStr">
        <is>
          <t>Прайс из СД ОП</t>
        </is>
      </c>
      <c r="D111" s="259" t="inlineStr">
        <is>
          <t>Скоба СК-16-1А</t>
        </is>
      </c>
      <c r="E111" s="258" t="inlineStr">
        <is>
          <t>шт.</t>
        </is>
      </c>
      <c r="F111" s="258" t="n">
        <v>1163</v>
      </c>
      <c r="G111" s="139" t="n">
        <v>89.88</v>
      </c>
      <c r="H111" s="139">
        <f>ROUND(F111*G111,2)</f>
        <v/>
      </c>
    </row>
    <row r="112" ht="47.25" customHeight="1" s="209">
      <c r="A112" s="258" t="n">
        <v>96</v>
      </c>
      <c r="B112" s="158" t="n"/>
      <c r="C112" s="259" t="inlineStr">
        <is>
          <t>Прайс из СД ОП</t>
        </is>
      </c>
      <c r="D112" s="259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E112" s="258" t="inlineStr">
        <is>
          <t>шт</t>
        </is>
      </c>
      <c r="F112" s="258" t="n">
        <v>137</v>
      </c>
      <c r="G112" s="139" t="n">
        <v>648.16</v>
      </c>
      <c r="H112" s="139">
        <f>ROUND(F112*G112,2)</f>
        <v/>
      </c>
    </row>
    <row r="113">
      <c r="A113" s="258" t="n">
        <v>97</v>
      </c>
      <c r="B113" s="158" t="n"/>
      <c r="C113" s="259" t="inlineStr">
        <is>
          <t>Прайс из СД ОП</t>
        </is>
      </c>
      <c r="D113" s="259" t="inlineStr">
        <is>
          <t>Скоба СК-21-1А</t>
        </is>
      </c>
      <c r="E113" s="258" t="inlineStr">
        <is>
          <t>шт.</t>
        </is>
      </c>
      <c r="F113" s="258" t="n">
        <v>581</v>
      </c>
      <c r="G113" s="139" t="n">
        <v>152.67</v>
      </c>
      <c r="H113" s="139">
        <f>ROUND(F113*G113,2)</f>
        <v/>
      </c>
    </row>
    <row r="114" ht="31.5" customHeight="1" s="209">
      <c r="A114" s="258" t="n">
        <v>98</v>
      </c>
      <c r="B114" s="158" t="n"/>
      <c r="C114" s="259" t="inlineStr">
        <is>
          <t>Прайс из СД ОП</t>
        </is>
      </c>
      <c r="D114" s="259" t="inlineStr">
        <is>
          <t>Протектор защитный спиральный ПШС-Т-24,1/03(01)</t>
        </is>
      </c>
      <c r="E114" s="258" t="inlineStr">
        <is>
          <t>шт</t>
        </is>
      </c>
      <c r="F114" s="258" t="n">
        <v>288</v>
      </c>
      <c r="G114" s="139" t="n">
        <v>266.72</v>
      </c>
      <c r="H114" s="139">
        <f>ROUND(F114*G114,2)</f>
        <v/>
      </c>
    </row>
    <row r="115">
      <c r="A115" s="258" t="n">
        <v>99</v>
      </c>
      <c r="B115" s="158" t="n"/>
      <c r="C115" s="259" t="inlineStr">
        <is>
          <t>Прайс из СД ОП</t>
        </is>
      </c>
      <c r="D115" s="259" t="inlineStr">
        <is>
          <t>Патроны термитные ПАС-300</t>
        </is>
      </c>
      <c r="E115" s="258" t="inlineStr">
        <is>
          <t>шт.</t>
        </is>
      </c>
      <c r="F115" s="258" t="n">
        <v>288</v>
      </c>
      <c r="G115" s="139" t="n">
        <v>197.69</v>
      </c>
      <c r="H115" s="139">
        <f>ROUND(F115*G115,2)</f>
        <v/>
      </c>
    </row>
    <row r="116">
      <c r="A116" s="258" t="n">
        <v>100</v>
      </c>
      <c r="B116" s="158" t="n"/>
      <c r="C116" s="259" t="inlineStr">
        <is>
          <t>Прайс из СД ОП</t>
        </is>
      </c>
      <c r="D116" s="259" t="inlineStr">
        <is>
          <t>Звено промежуточное вывернутое ПРВ-16-1</t>
        </is>
      </c>
      <c r="E116" s="258" t="inlineStr">
        <is>
          <t>шт.</t>
        </is>
      </c>
      <c r="F116" s="258" t="n">
        <v>581</v>
      </c>
      <c r="G116" s="139" t="n">
        <v>97.93000000000001</v>
      </c>
      <c r="H116" s="139">
        <f>ROUND(F116*G116,2)</f>
        <v/>
      </c>
    </row>
    <row r="117">
      <c r="A117" s="258" t="n">
        <v>101</v>
      </c>
      <c r="B117" s="158" t="n"/>
      <c r="C117" s="259" t="inlineStr">
        <is>
          <t>05.1.03.13-0183</t>
        </is>
      </c>
      <c r="D117" s="259" t="inlineStr">
        <is>
          <t>Ригели сборные железобетонные ВЛ и ОРУ</t>
        </is>
      </c>
      <c r="E117" s="258" t="inlineStr">
        <is>
          <t>м3</t>
        </is>
      </c>
      <c r="F117" s="258" t="n">
        <v>28.28</v>
      </c>
      <c r="G117" s="139" t="n">
        <v>1733.42</v>
      </c>
      <c r="H117" s="139">
        <f>ROUND(F117*G117,2)</f>
        <v/>
      </c>
    </row>
    <row r="118" ht="31.5" customHeight="1" s="209">
      <c r="A118" s="258" t="n">
        <v>102</v>
      </c>
      <c r="B118" s="158" t="n"/>
      <c r="C118" s="259" t="inlineStr">
        <is>
          <t>10.1.02.03-0001</t>
        </is>
      </c>
      <c r="D118" s="259" t="inlineStr">
        <is>
          <t>Проволока алюминиевая, марка АМЦ, диаметр 1,4-1,8 мм</t>
        </is>
      </c>
      <c r="E118" s="258" t="inlineStr">
        <is>
          <t>т</t>
        </is>
      </c>
      <c r="F118" s="258" t="n">
        <v>1.623836</v>
      </c>
      <c r="G118" s="139" t="n">
        <v>30092.71</v>
      </c>
      <c r="H118" s="139">
        <f>ROUND(F118*G118,2)</f>
        <v/>
      </c>
    </row>
    <row r="119" ht="31.5" customHeight="1" s="209">
      <c r="A119" s="258" t="n">
        <v>103</v>
      </c>
      <c r="B119" s="158" t="n"/>
      <c r="C119" s="259" t="inlineStr">
        <is>
          <t>01.7.15.03-0038</t>
        </is>
      </c>
      <c r="D119" s="259" t="inlineStr">
        <is>
          <t>Болты с гайками и шайбами оцинкованные, диаметр 36 мм</t>
        </is>
      </c>
      <c r="E119" s="258" t="inlineStr">
        <is>
          <t>кг</t>
        </is>
      </c>
      <c r="F119" s="258" t="n">
        <v>1918</v>
      </c>
      <c r="G119" s="139" t="n">
        <v>24.57</v>
      </c>
      <c r="H119" s="139">
        <f>ROUND(F119*G119,2)</f>
        <v/>
      </c>
    </row>
    <row r="120">
      <c r="A120" s="258" t="n">
        <v>104</v>
      </c>
      <c r="B120" s="158" t="n"/>
      <c r="C120" s="259" t="inlineStr">
        <is>
          <t>Прайс из СД ОП</t>
        </is>
      </c>
      <c r="D120" s="259" t="inlineStr">
        <is>
          <t>Звено промежуточное переходное ПРТ-21/16-2</t>
        </is>
      </c>
      <c r="E120" s="258" t="inlineStr">
        <is>
          <t>шт</t>
        </is>
      </c>
      <c r="F120" s="258" t="n">
        <v>581</v>
      </c>
      <c r="G120" s="139" t="n">
        <v>79.51000000000001</v>
      </c>
      <c r="H120" s="139">
        <f>ROUND(F120*G120,2)</f>
        <v/>
      </c>
    </row>
    <row r="121">
      <c r="A121" s="258" t="n">
        <v>105</v>
      </c>
      <c r="B121" s="158" t="n"/>
      <c r="C121" s="259" t="inlineStr">
        <is>
          <t>02.2.05.04-1772</t>
        </is>
      </c>
      <c r="D121" s="259" t="inlineStr">
        <is>
          <t>Щебень М 600, фракция 20-40 мм, группа 2</t>
        </is>
      </c>
      <c r="E121" s="258" t="inlineStr">
        <is>
          <t>м3</t>
        </is>
      </c>
      <c r="F121" s="258" t="n">
        <v>389.34</v>
      </c>
      <c r="G121" s="139" t="n">
        <v>114.13</v>
      </c>
      <c r="H121" s="139">
        <f>ROUND(F121*G121,2)</f>
        <v/>
      </c>
    </row>
    <row r="122">
      <c r="A122" s="258" t="n">
        <v>106</v>
      </c>
      <c r="B122" s="158" t="n"/>
      <c r="C122" s="259" t="inlineStr">
        <is>
          <t>08.3.07.01-0060</t>
        </is>
      </c>
      <c r="D122" s="259" t="inlineStr">
        <is>
          <t>Сталь полосовая: 100х10 мм, марка Ст3сп</t>
        </is>
      </c>
      <c r="E122" s="258" t="inlineStr">
        <is>
          <t>т</t>
        </is>
      </c>
      <c r="F122" s="258" t="n">
        <v>4.67</v>
      </c>
      <c r="G122" s="139" t="n">
        <v>7385.37</v>
      </c>
      <c r="H122" s="139">
        <f>ROUND(F122*G122,2)</f>
        <v/>
      </c>
    </row>
    <row r="123" ht="110.25" customHeight="1" s="209">
      <c r="A123" s="258" t="n">
        <v>107</v>
      </c>
      <c r="B123" s="158" t="n"/>
      <c r="C123" s="259" t="inlineStr">
        <is>
          <t>01.2.03.03-0103</t>
        </is>
      </c>
      <c r="D123" s="259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E123" s="258" t="inlineStr">
        <is>
          <t>кг</t>
        </is>
      </c>
      <c r="F123" s="258" t="n">
        <v>3237.35136</v>
      </c>
      <c r="G123" s="139" t="n">
        <v>9.15</v>
      </c>
      <c r="H123" s="139">
        <f>ROUND(F123*G123,2)</f>
        <v/>
      </c>
    </row>
    <row r="124" ht="31.5" customHeight="1" s="209">
      <c r="A124" s="258" t="n">
        <v>108</v>
      </c>
      <c r="B124" s="158" t="n"/>
      <c r="C124" s="259" t="inlineStr">
        <is>
          <t>08.4.03.02-0002</t>
        </is>
      </c>
      <c r="D124" s="259" t="inlineStr">
        <is>
          <t>Сталь арматурная, горячекатаная, гладкая, класс А-I, диаметр 8 мм</t>
        </is>
      </c>
      <c r="E124" s="258" t="inlineStr">
        <is>
          <t>т</t>
        </is>
      </c>
      <c r="F124" s="258" t="n">
        <v>4.264</v>
      </c>
      <c r="G124" s="139" t="n">
        <v>6780</v>
      </c>
      <c r="H124" s="139">
        <f>ROUND(F124*G124,2)</f>
        <v/>
      </c>
    </row>
    <row r="125" ht="47.25" customHeight="1" s="209">
      <c r="A125" s="258" t="n">
        <v>109</v>
      </c>
      <c r="B125" s="158" t="n"/>
      <c r="C125" s="259" t="inlineStr">
        <is>
          <t>11.1.02.01-0031</t>
        </is>
      </c>
      <c r="D125" s="259" t="inlineStr">
        <is>
          <t>Лесоматериалы лиственных пород для строительства, круглые, длина 3-6,5 м, диаметр 12-24 см</t>
        </is>
      </c>
      <c r="E125" s="258" t="inlineStr">
        <is>
          <t>м3</t>
        </is>
      </c>
      <c r="F125" s="258" t="n">
        <v>67.923</v>
      </c>
      <c r="G125" s="139" t="n">
        <v>401.17</v>
      </c>
      <c r="H125" s="139">
        <f>ROUND(F125*G125,2)</f>
        <v/>
      </c>
    </row>
    <row r="126">
      <c r="A126" s="258" t="n">
        <v>110</v>
      </c>
      <c r="B126" s="158" t="n"/>
      <c r="C126" s="259" t="inlineStr">
        <is>
          <t>01.7.11.07-0032</t>
        </is>
      </c>
      <c r="D126" s="259" t="inlineStr">
        <is>
          <t>Электроды сварочные Э42, диаметр 4 мм</t>
        </is>
      </c>
      <c r="E126" s="258" t="inlineStr">
        <is>
          <t>т</t>
        </is>
      </c>
      <c r="F126" s="258" t="n">
        <v>1.394232</v>
      </c>
      <c r="G126" s="139" t="n">
        <v>10316.13</v>
      </c>
      <c r="H126" s="139">
        <f>ROUND(F126*G126,2)</f>
        <v/>
      </c>
    </row>
    <row r="127" ht="31.5" customHeight="1" s="209">
      <c r="A127" s="258" t="n">
        <v>111</v>
      </c>
      <c r="B127" s="158" t="n"/>
      <c r="C127" s="259" t="inlineStr">
        <is>
          <t>11.1.03.05-0086</t>
        </is>
      </c>
      <c r="D127" s="259" t="inlineStr">
        <is>
          <t>Доска необрезная, хвойных пород, длина 4-6,5 м, все ширины, толщина 44 мм и более, сорт IV</t>
        </is>
      </c>
      <c r="E127" s="258" t="inlineStr">
        <is>
          <t>м3</t>
        </is>
      </c>
      <c r="F127" s="258" t="n">
        <v>20.24</v>
      </c>
      <c r="G127" s="139" t="n">
        <v>550</v>
      </c>
      <c r="H127" s="139">
        <f>ROUND(F127*G127,2)</f>
        <v/>
      </c>
    </row>
    <row r="128">
      <c r="A128" s="258" t="n">
        <v>112</v>
      </c>
      <c r="B128" s="158" t="n"/>
      <c r="C128" s="259" t="inlineStr">
        <is>
          <t>01.7.15.03-0042</t>
        </is>
      </c>
      <c r="D128" s="259" t="inlineStr">
        <is>
          <t>Болты с гайками и шайбами строительные</t>
        </is>
      </c>
      <c r="E128" s="258" t="inlineStr">
        <is>
          <t>кг</t>
        </is>
      </c>
      <c r="F128" s="258" t="n">
        <v>869.409644</v>
      </c>
      <c r="G128" s="139" t="n">
        <v>9.85</v>
      </c>
      <c r="H128" s="139">
        <f>ROUND(F128*G128,2)</f>
        <v/>
      </c>
    </row>
    <row r="129" ht="47.25" customHeight="1" s="209">
      <c r="A129" s="258" t="n">
        <v>113</v>
      </c>
      <c r="B129" s="158" t="n"/>
      <c r="C129" s="259" t="inlineStr">
        <is>
          <t>11.1.03.06-0025</t>
        </is>
      </c>
      <c r="D129" s="259" t="inlineStr">
        <is>
          <t>Доска обрезная, лиственных пород (береза, липа), длина 4-6,5 м, все ширины, толщина 25, 32, 40 мм, сорт III</t>
        </is>
      </c>
      <c r="E129" s="258" t="inlineStr">
        <is>
          <t>м3</t>
        </is>
      </c>
      <c r="F129" s="258" t="n">
        <v>6.922117</v>
      </c>
      <c r="G129" s="139" t="n">
        <v>983.1900000000001</v>
      </c>
      <c r="H129" s="139">
        <f>ROUND(F129*G129,2)</f>
        <v/>
      </c>
    </row>
    <row r="130" ht="31.5" customHeight="1" s="209">
      <c r="A130" s="258" t="n">
        <v>114</v>
      </c>
      <c r="B130" s="158" t="n"/>
      <c r="C130" s="259" t="inlineStr">
        <is>
          <t>01.7.12.05-1018</t>
        </is>
      </c>
      <c r="D130" s="259" t="inlineStr">
        <is>
          <t>Геотекстиль нетканый, поверхностной плотностью 550 г/м2</t>
        </is>
      </c>
      <c r="E130" s="258" t="inlineStr">
        <is>
          <t>м2</t>
        </is>
      </c>
      <c r="F130" s="258" t="n">
        <v>708.4</v>
      </c>
      <c r="G130" s="139" t="n">
        <v>9.140000000000001</v>
      </c>
      <c r="H130" s="139">
        <f>ROUND(F130*G130,2)</f>
        <v/>
      </c>
    </row>
    <row r="131" ht="31.5" customHeight="1" s="209">
      <c r="A131" s="258" t="n">
        <v>115</v>
      </c>
      <c r="B131" s="158" t="n"/>
      <c r="C131" s="259" t="inlineStr">
        <is>
          <t>07.2.05.02-0112</t>
        </is>
      </c>
      <c r="D131" s="259" t="inlineStr">
        <is>
          <t>Элементы фасонные (доборные) из оцинкованной стали</t>
        </is>
      </c>
      <c r="E131" s="258" t="inlineStr">
        <is>
          <t>т</t>
        </is>
      </c>
      <c r="F131" s="258" t="n">
        <v>0.4433</v>
      </c>
      <c r="G131" s="139" t="n">
        <v>11864.99</v>
      </c>
      <c r="H131" s="139">
        <f>ROUND(F131*G131,2)</f>
        <v/>
      </c>
    </row>
    <row r="132">
      <c r="A132" s="258" t="n">
        <v>116</v>
      </c>
      <c r="B132" s="158" t="n"/>
      <c r="C132" s="259" t="inlineStr">
        <is>
          <t>08.3.03.04-0012</t>
        </is>
      </c>
      <c r="D132" s="259" t="inlineStr">
        <is>
          <t>Проволока светлая, диаметр 1,1 мм</t>
        </is>
      </c>
      <c r="E132" s="258" t="inlineStr">
        <is>
          <t>т</t>
        </is>
      </c>
      <c r="F132" s="258" t="n">
        <v>0.461204</v>
      </c>
      <c r="G132" s="139" t="n">
        <v>11248.28</v>
      </c>
      <c r="H132" s="139">
        <f>ROUND(F132*G132,2)</f>
        <v/>
      </c>
    </row>
    <row r="133">
      <c r="A133" s="258" t="n">
        <v>117</v>
      </c>
      <c r="B133" s="158" t="n"/>
      <c r="C133" s="259" t="inlineStr">
        <is>
          <t>14.5.09.11-0102</t>
        </is>
      </c>
      <c r="D133" s="259" t="inlineStr">
        <is>
          <t>Уайт-спирит</t>
        </is>
      </c>
      <c r="E133" s="258" t="inlineStr">
        <is>
          <t>кг</t>
        </is>
      </c>
      <c r="F133" s="258" t="n">
        <v>537.694</v>
      </c>
      <c r="G133" s="139" t="n">
        <v>6.68</v>
      </c>
      <c r="H133" s="139">
        <f>ROUND(F133*G133,2)</f>
        <v/>
      </c>
      <c r="I133" s="136" t="n"/>
      <c r="J133" s="136" t="n"/>
    </row>
    <row r="134">
      <c r="A134" s="258" t="n">
        <v>118</v>
      </c>
      <c r="B134" s="158" t="n"/>
      <c r="C134" s="259" t="inlineStr">
        <is>
          <t>01.7.03.01-0001</t>
        </is>
      </c>
      <c r="D134" s="259" t="inlineStr">
        <is>
          <t>Вода</t>
        </is>
      </c>
      <c r="E134" s="258" t="inlineStr">
        <is>
          <t>м3</t>
        </is>
      </c>
      <c r="F134" s="258" t="n">
        <v>1090.158937</v>
      </c>
      <c r="G134" s="139" t="n">
        <v>2.44</v>
      </c>
      <c r="H134" s="139">
        <f>ROUND(F134*G134,2)</f>
        <v/>
      </c>
      <c r="I134" s="136" t="n"/>
      <c r="J134" s="136" t="n"/>
    </row>
    <row r="135">
      <c r="A135" s="258" t="n">
        <v>119</v>
      </c>
      <c r="B135" s="158" t="n"/>
      <c r="C135" s="259" t="inlineStr">
        <is>
          <t>01.7.15.11-0048</t>
        </is>
      </c>
      <c r="D135" s="259" t="inlineStr">
        <is>
          <t>Шайбы оцинкованные, диаметр 16 мм</t>
        </is>
      </c>
      <c r="E135" s="258" t="inlineStr">
        <is>
          <t>кг</t>
        </is>
      </c>
      <c r="F135" s="258" t="n">
        <v>68.2</v>
      </c>
      <c r="G135" s="139" t="n">
        <v>31.17</v>
      </c>
      <c r="H135" s="139">
        <f>ROUND(F135*G135,2)</f>
        <v/>
      </c>
      <c r="I135" s="136" t="n"/>
      <c r="J135" s="136" t="n"/>
    </row>
    <row r="136">
      <c r="A136" s="258" t="n">
        <v>120</v>
      </c>
      <c r="B136" s="158" t="n"/>
      <c r="C136" s="259" t="inlineStr">
        <is>
          <t>Прайс из СД ОП</t>
        </is>
      </c>
      <c r="D136" s="259" t="inlineStr">
        <is>
          <t>Спички термитные</t>
        </is>
      </c>
      <c r="E136" s="258" t="inlineStr">
        <is>
          <t>шт.</t>
        </is>
      </c>
      <c r="F136" s="258" t="n">
        <v>575</v>
      </c>
      <c r="G136" s="139" t="n">
        <v>3.51</v>
      </c>
      <c r="H136" s="139">
        <f>ROUND(F136*G136,2)</f>
        <v/>
      </c>
      <c r="I136" s="136" t="n"/>
      <c r="J136" s="136" t="n"/>
    </row>
    <row r="137">
      <c r="A137" s="258" t="n">
        <v>121</v>
      </c>
      <c r="B137" s="158" t="n"/>
      <c r="C137" s="259" t="inlineStr">
        <is>
          <t>02.1.01.01-0001</t>
        </is>
      </c>
      <c r="D137" s="259" t="inlineStr">
        <is>
          <t>Глина</t>
        </is>
      </c>
      <c r="E137" s="258" t="inlineStr">
        <is>
          <t>м3</t>
        </is>
      </c>
      <c r="F137" s="258" t="n">
        <v>22.08</v>
      </c>
      <c r="G137" s="139" t="n">
        <v>87.8</v>
      </c>
      <c r="H137" s="139">
        <f>ROUND(F137*G137,2)</f>
        <v/>
      </c>
      <c r="I137" s="136" t="n"/>
      <c r="J137" s="136" t="n"/>
    </row>
    <row r="138" ht="31.5" customHeight="1" s="209">
      <c r="A138" s="258" t="n">
        <v>122</v>
      </c>
      <c r="B138" s="158" t="n"/>
      <c r="C138" s="259" t="inlineStr">
        <is>
          <t>11.1.02.04-0031</t>
        </is>
      </c>
      <c r="D138" s="259" t="inlineStr">
        <is>
          <t>Лесоматериалы круглые, хвойных пород, для строительства, диаметр 14-24 см, длина 3-6,5 м</t>
        </is>
      </c>
      <c r="E138" s="258" t="inlineStr">
        <is>
          <t>м3</t>
        </is>
      </c>
      <c r="F138" s="258" t="n">
        <v>3.461058</v>
      </c>
      <c r="G138" s="139" t="n">
        <v>558.33</v>
      </c>
      <c r="H138" s="139">
        <f>ROUND(F138*G138,2)</f>
        <v/>
      </c>
      <c r="I138" s="136" t="n"/>
      <c r="J138" s="136" t="n"/>
    </row>
    <row r="139">
      <c r="A139" s="258" t="n">
        <v>123</v>
      </c>
      <c r="B139" s="158" t="n"/>
      <c r="C139" s="259" t="inlineStr">
        <is>
          <t>Прайс из СД ОП</t>
        </is>
      </c>
      <c r="D139" s="259" t="inlineStr">
        <is>
          <t>Ушко двухлапчатое У2-12-16</t>
        </is>
      </c>
      <c r="E139" s="258" t="inlineStr">
        <is>
          <t>шт.</t>
        </is>
      </c>
      <c r="F139" s="258" t="n">
        <v>18</v>
      </c>
      <c r="G139" s="139" t="n">
        <v>102.27</v>
      </c>
      <c r="H139" s="139">
        <f>ROUND(F139*G139,2)</f>
        <v/>
      </c>
      <c r="I139" s="136" t="n"/>
      <c r="J139" s="136" t="n"/>
    </row>
    <row r="140" ht="94.5" customHeight="1" s="209">
      <c r="A140" s="258" t="n">
        <v>124</v>
      </c>
      <c r="B140" s="158" t="n"/>
      <c r="C140" s="259" t="inlineStr">
        <is>
          <t>07.2.07.12-0003</t>
        </is>
      </c>
      <c r="D140" s="25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40" s="258" t="inlineStr">
        <is>
          <t>т</t>
        </is>
      </c>
      <c r="F140" s="258" t="n">
        <v>0.145364</v>
      </c>
      <c r="G140" s="139" t="n">
        <v>11259.29</v>
      </c>
      <c r="H140" s="139">
        <f>ROUND(F140*G140,2)</f>
        <v/>
      </c>
      <c r="I140" s="136" t="n"/>
      <c r="J140" s="136" t="n"/>
    </row>
    <row r="141">
      <c r="A141" s="258" t="n">
        <v>125</v>
      </c>
      <c r="B141" s="158" t="n"/>
      <c r="C141" s="259" t="inlineStr">
        <is>
          <t>01.7.15.02-0065</t>
        </is>
      </c>
      <c r="D141" s="259" t="inlineStr">
        <is>
          <t>Болты оцинкованные диаметр 16 (18) мм</t>
        </is>
      </c>
      <c r="E141" s="258" t="inlineStr">
        <is>
          <t>т</t>
        </is>
      </c>
      <c r="F141" s="258" t="n">
        <v>0.08866</v>
      </c>
      <c r="G141" s="139" t="n">
        <v>15441.8</v>
      </c>
      <c r="H141" s="139">
        <f>ROUND(F141*G141,2)</f>
        <v/>
      </c>
      <c r="I141" s="136" t="n"/>
      <c r="J141" s="136" t="n"/>
    </row>
    <row r="142">
      <c r="A142" s="258" t="n">
        <v>126</v>
      </c>
      <c r="B142" s="158" t="n"/>
      <c r="C142" s="259" t="inlineStr">
        <is>
          <t>Прайс из СД ОП</t>
        </is>
      </c>
      <c r="D142" s="259" t="inlineStr">
        <is>
          <t>Звено промежуточное вывернутое ПРВ-12-1</t>
        </is>
      </c>
      <c r="E142" s="258" t="inlineStr">
        <is>
          <t>шт.</t>
        </is>
      </c>
      <c r="F142" s="258" t="n">
        <v>18</v>
      </c>
      <c r="G142" s="139" t="n">
        <v>48.97</v>
      </c>
      <c r="H142" s="139">
        <f>ROUND(F142*G142,2)</f>
        <v/>
      </c>
      <c r="I142" s="136" t="n"/>
      <c r="J142" s="136" t="n"/>
    </row>
    <row r="143">
      <c r="A143" s="258" t="n">
        <v>127</v>
      </c>
      <c r="B143" s="158" t="n"/>
      <c r="C143" s="259" t="inlineStr">
        <is>
          <t>Прайс из СД ОП</t>
        </is>
      </c>
      <c r="D143" s="259" t="inlineStr">
        <is>
          <t>2ПР-12-2</t>
        </is>
      </c>
      <c r="E143" s="258" t="inlineStr">
        <is>
          <t>шт</t>
        </is>
      </c>
      <c r="F143" s="258" t="n">
        <v>18</v>
      </c>
      <c r="G143" s="139" t="n">
        <v>38.6</v>
      </c>
      <c r="H143" s="139">
        <f>ROUND(F143*G143,2)</f>
        <v/>
      </c>
      <c r="I143" s="136" t="n"/>
      <c r="J143" s="136" t="n"/>
    </row>
    <row r="144">
      <c r="A144" s="258" t="n">
        <v>128</v>
      </c>
      <c r="B144" s="158" t="n"/>
      <c r="C144" s="259" t="inlineStr">
        <is>
          <t>Прайс из СД ОП</t>
        </is>
      </c>
      <c r="D144" s="259" t="inlineStr">
        <is>
          <t>Палец 22х70</t>
        </is>
      </c>
      <c r="E144" s="258" t="inlineStr">
        <is>
          <t>шт</t>
        </is>
      </c>
      <c r="F144" s="258" t="n">
        <v>18</v>
      </c>
      <c r="G144" s="139" t="n">
        <v>34.57</v>
      </c>
      <c r="H144" s="139">
        <f>ROUND(F144*G144,2)</f>
        <v/>
      </c>
      <c r="I144" s="136" t="n"/>
      <c r="J144" s="136" t="n"/>
    </row>
    <row r="145">
      <c r="A145" s="258" t="n">
        <v>129</v>
      </c>
      <c r="B145" s="158" t="n"/>
      <c r="C145" s="259" t="inlineStr">
        <is>
          <t>01.4.01.03-1042</t>
        </is>
      </c>
      <c r="D145" s="259" t="inlineStr">
        <is>
          <t>Долото шнековое двухлопастное, диаметр 95 мм</t>
        </is>
      </c>
      <c r="E145" s="258" t="inlineStr">
        <is>
          <t>шт</t>
        </is>
      </c>
      <c r="F145" s="258" t="n">
        <v>0.586464</v>
      </c>
      <c r="G145" s="139" t="n">
        <v>1056.11</v>
      </c>
      <c r="H145" s="139">
        <f>ROUND(F145*G145,2)</f>
        <v/>
      </c>
      <c r="I145" s="136" t="n"/>
      <c r="J145" s="136" t="n"/>
    </row>
    <row r="146">
      <c r="A146" s="258" t="n">
        <v>130</v>
      </c>
      <c r="B146" s="158" t="n"/>
      <c r="C146" s="259" t="inlineStr">
        <is>
          <t>11.1.03.06-0002</t>
        </is>
      </c>
      <c r="D146" s="259" t="inlineStr">
        <is>
          <t>Доска дубовая, сорт II</t>
        </is>
      </c>
      <c r="E146" s="258" t="inlineStr">
        <is>
          <t>м3</t>
        </is>
      </c>
      <c r="F146" s="258" t="n">
        <v>0.376871</v>
      </c>
      <c r="G146" s="139" t="n">
        <v>1414.28</v>
      </c>
      <c r="H146" s="139">
        <f>ROUND(F146*G146,2)</f>
        <v/>
      </c>
      <c r="I146" s="136" t="n"/>
      <c r="J146" s="136" t="n"/>
    </row>
    <row r="147">
      <c r="A147" s="258" t="n">
        <v>131</v>
      </c>
      <c r="B147" s="158" t="n"/>
      <c r="C147" s="259" t="inlineStr">
        <is>
          <t>01.7.15.06-0111</t>
        </is>
      </c>
      <c r="D147" s="259" t="inlineStr">
        <is>
          <t>Гвозди строительные</t>
        </is>
      </c>
      <c r="E147" s="258" t="inlineStr">
        <is>
          <t>т</t>
        </is>
      </c>
      <c r="F147" s="258" t="n">
        <v>0.043263</v>
      </c>
      <c r="G147" s="139" t="n">
        <v>11976.45</v>
      </c>
      <c r="H147" s="139">
        <f>ROUND(F147*G147,2)</f>
        <v/>
      </c>
      <c r="I147" s="136" t="n"/>
      <c r="J147" s="136" t="n"/>
    </row>
    <row r="148">
      <c r="A148" s="258" t="n">
        <v>132</v>
      </c>
      <c r="B148" s="158" t="n"/>
      <c r="C148" s="259" t="inlineStr">
        <is>
          <t>01.3.01.03-0002</t>
        </is>
      </c>
      <c r="D148" s="259" t="inlineStr">
        <is>
          <t>Керосин для технических целей</t>
        </is>
      </c>
      <c r="E148" s="258" t="inlineStr">
        <is>
          <t>т</t>
        </is>
      </c>
      <c r="F148" s="258" t="n">
        <v>0.180683</v>
      </c>
      <c r="G148" s="139" t="n">
        <v>2607.1</v>
      </c>
      <c r="H148" s="139">
        <f>ROUND(F148*G148,2)</f>
        <v/>
      </c>
      <c r="I148" s="136" t="n"/>
      <c r="J148" s="136" t="n"/>
    </row>
    <row r="149" ht="31.5" customHeight="1" s="209">
      <c r="A149" s="258" t="n">
        <v>133</v>
      </c>
      <c r="B149" s="158" t="n"/>
      <c r="C149" s="259" t="inlineStr">
        <is>
          <t>01.7.15.05-0025</t>
        </is>
      </c>
      <c r="D149" s="259" t="inlineStr">
        <is>
          <t>Гайки шестигранные оцинкованные, диаметр резьбы 16-18 мм</t>
        </is>
      </c>
      <c r="E149" s="258" t="inlineStr">
        <is>
          <t>кг</t>
        </is>
      </c>
      <c r="F149" s="258" t="n">
        <v>20.46</v>
      </c>
      <c r="G149" s="139" t="n">
        <v>21.46</v>
      </c>
      <c r="H149" s="139">
        <f>ROUND(F149*G149,2)</f>
        <v/>
      </c>
      <c r="I149" s="136" t="n"/>
      <c r="J149" s="136" t="n"/>
    </row>
    <row r="150">
      <c r="A150" s="258" t="n">
        <v>134</v>
      </c>
      <c r="B150" s="158" t="n"/>
      <c r="C150" s="259" t="inlineStr">
        <is>
          <t>08.1.02.11-0001</t>
        </is>
      </c>
      <c r="D150" s="259" t="inlineStr">
        <is>
          <t>Поковки из квадратных заготовок, масса 1,8 кг</t>
        </is>
      </c>
      <c r="E150" s="258" t="inlineStr">
        <is>
          <t>т</t>
        </is>
      </c>
      <c r="F150" s="258" t="n">
        <v>0.049032</v>
      </c>
      <c r="G150" s="139" t="n">
        <v>5988.78</v>
      </c>
      <c r="H150" s="139">
        <f>ROUND(F150*G150,2)</f>
        <v/>
      </c>
      <c r="I150" s="136" t="n"/>
      <c r="J150" s="136" t="n"/>
    </row>
    <row r="151">
      <c r="A151" s="258" t="n">
        <v>135</v>
      </c>
      <c r="B151" s="158" t="n"/>
      <c r="C151" s="259" t="inlineStr">
        <is>
          <t>01.2.01.02-0054</t>
        </is>
      </c>
      <c r="D151" s="259" t="inlineStr">
        <is>
          <t>Битумы нефтяные строительные БН-90/10</t>
        </is>
      </c>
      <c r="E151" s="258" t="inlineStr">
        <is>
          <t>т</t>
        </is>
      </c>
      <c r="F151" s="258" t="n">
        <v>0.120455</v>
      </c>
      <c r="G151" s="139" t="n">
        <v>1383.17</v>
      </c>
      <c r="H151" s="139">
        <f>ROUND(F151*G151,2)</f>
        <v/>
      </c>
      <c r="I151" s="136" t="n"/>
      <c r="J151" s="136" t="n"/>
    </row>
    <row r="152" ht="31.5" customHeight="1" s="209">
      <c r="A152" s="258" t="n">
        <v>136</v>
      </c>
      <c r="B152" s="158" t="n"/>
      <c r="C152" s="259" t="inlineStr">
        <is>
          <t>14.4.02.04-0142</t>
        </is>
      </c>
      <c r="D152" s="259" t="inlineStr">
        <is>
          <t>Краска масляная земляная МА-0115, мумия, сурик железный</t>
        </is>
      </c>
      <c r="E152" s="258" t="inlineStr">
        <is>
          <t>кг</t>
        </is>
      </c>
      <c r="F152" s="258" t="n">
        <v>10.767738</v>
      </c>
      <c r="G152" s="139" t="n">
        <v>15</v>
      </c>
      <c r="H152" s="139">
        <f>ROUND(F152*G152,2)</f>
        <v/>
      </c>
      <c r="I152" s="136" t="n"/>
      <c r="J152" s="136" t="n"/>
    </row>
    <row r="153">
      <c r="A153" s="258" t="n">
        <v>137</v>
      </c>
      <c r="B153" s="158" t="n"/>
      <c r="C153" s="259" t="inlineStr">
        <is>
          <t>Прайс из СД ОП</t>
        </is>
      </c>
      <c r="D153" s="259" t="inlineStr">
        <is>
          <t>Гайка М20-7Н.4.0112</t>
        </is>
      </c>
      <c r="E153" s="258" t="inlineStr">
        <is>
          <t>шт</t>
        </is>
      </c>
      <c r="F153" s="258" t="n">
        <v>18</v>
      </c>
      <c r="G153" s="139" t="n">
        <v>4.32</v>
      </c>
      <c r="H153" s="139">
        <f>ROUND(F153*G153,2)</f>
        <v/>
      </c>
      <c r="I153" s="136" t="n"/>
      <c r="J153" s="136" t="n"/>
    </row>
    <row r="154">
      <c r="A154" s="258" t="n">
        <v>138</v>
      </c>
      <c r="B154" s="158" t="n"/>
      <c r="C154" s="259" t="inlineStr">
        <is>
          <t>Прайс из СД ОП</t>
        </is>
      </c>
      <c r="D154" s="259" t="inlineStr">
        <is>
          <t>Шплинт 4х28.0112</t>
        </is>
      </c>
      <c r="E154" s="258" t="inlineStr">
        <is>
          <t>шт</t>
        </is>
      </c>
      <c r="F154" s="258" t="n">
        <v>18</v>
      </c>
      <c r="G154" s="139" t="n">
        <v>2.31</v>
      </c>
      <c r="H154" s="139">
        <f>ROUND(F154*G154,2)</f>
        <v/>
      </c>
      <c r="I154" s="136" t="n"/>
      <c r="J154" s="136" t="n"/>
    </row>
    <row r="155">
      <c r="A155" s="258" t="n">
        <v>139</v>
      </c>
      <c r="B155" s="158" t="n"/>
      <c r="C155" s="259" t="inlineStr">
        <is>
          <t>02.2.05.04-1777</t>
        </is>
      </c>
      <c r="D155" s="259" t="inlineStr">
        <is>
          <t>Щебень М 800, фракция 20-40 мм, группа 2</t>
        </is>
      </c>
      <c r="E155" s="258" t="inlineStr">
        <is>
          <t>м3</t>
        </is>
      </c>
      <c r="F155" s="258" t="n">
        <v>0.244644</v>
      </c>
      <c r="G155" s="139" t="n">
        <v>108.44</v>
      </c>
      <c r="H155" s="139">
        <f>ROUND(F155*G155,2)</f>
        <v/>
      </c>
      <c r="I155" s="136" t="n"/>
      <c r="J155" s="136" t="n"/>
    </row>
    <row r="156">
      <c r="A156" s="258" t="n">
        <v>140</v>
      </c>
      <c r="B156" s="158" t="n"/>
      <c r="C156" s="259" t="inlineStr">
        <is>
          <t>01.7.20.08-0051</t>
        </is>
      </c>
      <c r="D156" s="259" t="inlineStr">
        <is>
          <t>Ветошь</t>
        </is>
      </c>
      <c r="E156" s="258" t="inlineStr">
        <is>
          <t>кг</t>
        </is>
      </c>
      <c r="F156" s="258" t="n">
        <v>0.752846</v>
      </c>
      <c r="G156" s="139" t="n">
        <v>1.81</v>
      </c>
      <c r="H156" s="139">
        <f>ROUND(F156*G156,2)</f>
        <v/>
      </c>
      <c r="I156" s="136" t="n"/>
      <c r="J156" s="136" t="n"/>
    </row>
    <row r="157">
      <c r="J157" s="150" t="n"/>
    </row>
    <row r="158">
      <c r="J158" s="150" t="n"/>
    </row>
    <row r="159">
      <c r="B159" s="153" t="inlineStr">
        <is>
          <t>Составил ______________________        Е.А. Князева</t>
        </is>
      </c>
      <c r="J159" s="150" t="n"/>
    </row>
    <row r="160">
      <c r="B160" s="159" t="inlineStr">
        <is>
          <t xml:space="preserve">                         (подпись, инициалы, фамилия)</t>
        </is>
      </c>
    </row>
    <row r="161">
      <c r="J161" s="248" t="n"/>
    </row>
    <row r="162">
      <c r="B162" s="153" t="inlineStr">
        <is>
          <t>Проверил ______________________        А.В. Костянецкая</t>
        </is>
      </c>
    </row>
    <row r="163">
      <c r="B163" s="159" t="inlineStr">
        <is>
          <t xml:space="preserve">                        (подпись, инициалы, фамилия)</t>
        </is>
      </c>
    </row>
  </sheetData>
  <mergeCells count="15">
    <mergeCell ref="A77:E77"/>
    <mergeCell ref="B9:B10"/>
    <mergeCell ref="A12:E12"/>
    <mergeCell ref="A4:H4"/>
    <mergeCell ref="C9:C10"/>
    <mergeCell ref="D9:D10"/>
    <mergeCell ref="E9:E10"/>
    <mergeCell ref="A7:H7"/>
    <mergeCell ref="A9:A10"/>
    <mergeCell ref="F9:F10"/>
    <mergeCell ref="A76:E76"/>
    <mergeCell ref="A33:E33"/>
    <mergeCell ref="A5:H5"/>
    <mergeCell ref="G9:H9"/>
    <mergeCell ref="A31:E31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53" sqref="E53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2.8554687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60" t="inlineStr">
        <is>
          <t>Ресурсная модель</t>
        </is>
      </c>
    </row>
    <row r="6">
      <c r="B6" s="18" t="n"/>
      <c r="C6" s="196" t="n"/>
      <c r="D6" s="196" t="n"/>
      <c r="E6" s="196" t="n"/>
    </row>
    <row r="7" ht="39.75" customHeight="1" s="209">
      <c r="B7" s="261">
        <f>'Прил.1 Сравнит табл'!B7</f>
        <v/>
      </c>
    </row>
    <row r="8">
      <c r="B8" s="262">
        <f>'Прил.1 Сравнит табл'!B9</f>
        <v/>
      </c>
    </row>
    <row r="9">
      <c r="B9" s="18" t="n"/>
      <c r="C9" s="196" t="n"/>
      <c r="D9" s="196" t="n"/>
      <c r="E9" s="196" t="n"/>
    </row>
    <row r="10" ht="51" customHeight="1" s="209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201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201">
        <f>'Прил.5 Расчет СМР и ОБ'!J31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201">
        <f>'Прил.5 Расчет СМР и ОБ'!J61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201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201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201">
        <f>'Прил.5 Расчет СМР и ОБ'!J84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201">
        <f>'Прил.5 Расчет СМР и ОБ'!J150</f>
        <v/>
      </c>
      <c r="D17" s="53">
        <f>C17/$C$24</f>
        <v/>
      </c>
      <c r="E17" s="53">
        <f>C17/$C$40</f>
        <v/>
      </c>
      <c r="G17" s="19" t="n"/>
    </row>
    <row r="18">
      <c r="B18" s="51" t="inlineStr">
        <is>
          <t>МАТЕРИАЛЫ, ВСЕГО:</t>
        </is>
      </c>
      <c r="C18" s="201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201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201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ОБ'!E154</f>
        <v/>
      </c>
      <c r="D21" s="53" t="n"/>
      <c r="E21" s="51" t="n"/>
    </row>
    <row r="22">
      <c r="B22" s="51" t="inlineStr">
        <is>
          <t>Накладные расходы, руб.</t>
        </is>
      </c>
      <c r="C22" s="201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ОБ'!E153</f>
        <v/>
      </c>
      <c r="D23" s="53" t="n"/>
      <c r="E23" s="51" t="n"/>
    </row>
    <row r="24">
      <c r="B24" s="51" t="inlineStr">
        <is>
          <t>ВСЕГО СМР с НР и СП</t>
        </is>
      </c>
      <c r="C24" s="201">
        <f>C19+C20+C22</f>
        <v/>
      </c>
      <c r="D24" s="53">
        <f>C24/$C$24</f>
        <v/>
      </c>
      <c r="E24" s="53">
        <f>C24/$C$40</f>
        <v/>
      </c>
    </row>
    <row r="25" ht="25.5" customHeight="1" s="209">
      <c r="B25" s="51" t="inlineStr">
        <is>
          <t>ВСЕГО стоимость оборудования, в том числе</t>
        </is>
      </c>
      <c r="C25" s="201">
        <f>'Прил.5 Расчет СМР и ОБ'!J67</f>
        <v/>
      </c>
      <c r="D25" s="53" t="n"/>
      <c r="E25" s="53">
        <f>C25/$C$40</f>
        <v/>
      </c>
    </row>
    <row r="26" ht="25.5" customHeight="1" s="209">
      <c r="B26" s="51" t="inlineStr">
        <is>
          <t>стоимость оборудования технологического</t>
        </is>
      </c>
      <c r="C26" s="201">
        <f>'Прил.5 Расчет СМР и ОБ'!J68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209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209">
      <c r="B29" s="51" t="inlineStr">
        <is>
          <t>Временные здания и сооружения - 3,3%</t>
        </is>
      </c>
      <c r="C29" s="52">
        <f>ROUND(C24*3.3%,2)</f>
        <v/>
      </c>
      <c r="D29" s="51" t="n"/>
      <c r="E29" s="53">
        <f>C29/$C$40</f>
        <v/>
      </c>
    </row>
    <row r="30" ht="38.25" customHeight="1" s="209">
      <c r="B30" s="51" t="inlineStr">
        <is>
          <t>Дополнительные затраты при производстве строительно-монтажных работ в зимнее время - 1%</t>
        </is>
      </c>
      <c r="C30" s="52">
        <f>ROUND((C24+C29)*1%,2)</f>
        <v/>
      </c>
      <c r="D30" s="51" t="n"/>
      <c r="E30" s="53">
        <f>C30/$C$40</f>
        <v/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209">
      <c r="B32" s="51" t="inlineStr">
        <is>
          <t>Затраты по перевозке работников к месту работы и обратно</t>
        </is>
      </c>
      <c r="C32" s="52" t="n">
        <v>0</v>
      </c>
      <c r="D32" s="51" t="n"/>
      <c r="E32" s="53">
        <f>C32/$C$40</f>
        <v/>
      </c>
      <c r="G32" s="152" t="n"/>
    </row>
    <row r="33" ht="25.5" customHeight="1" s="209">
      <c r="B33" s="51" t="inlineStr">
        <is>
          <t>Затраты, связанные с осуществлением работ вахтовым методом</t>
        </is>
      </c>
      <c r="C33" s="52" t="n">
        <v>0</v>
      </c>
      <c r="D33" s="51" t="n"/>
      <c r="E33" s="53">
        <f>C33/$C$40</f>
        <v/>
      </c>
      <c r="G33" s="152" t="n"/>
    </row>
    <row r="34" ht="51" customHeight="1" s="209">
      <c r="B34" s="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2" t="n">
        <v>0</v>
      </c>
      <c r="D34" s="51" t="n"/>
      <c r="E34" s="53">
        <f>C34/$C$40</f>
        <v/>
      </c>
      <c r="G34" s="152" t="n"/>
    </row>
    <row r="35" ht="76.5" customHeight="1" s="209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2" t="n">
        <v>0</v>
      </c>
      <c r="D35" s="51" t="n"/>
      <c r="E35" s="53">
        <f>C35/$C$40</f>
        <v/>
      </c>
      <c r="G35" s="152" t="n"/>
    </row>
    <row r="36" ht="25.5" customHeight="1" s="209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94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94" t="n"/>
      <c r="L37" s="20" t="n"/>
    </row>
    <row r="38" ht="38.25" customHeight="1" s="209">
      <c r="B38" s="51" t="inlineStr">
        <is>
          <t>ИТОГО (СМР+ОБОРУДОВАНИЕ+ПРОЧ. ЗАТР., УЧТЕННЫЕ ПОКАЗАТЕЛЕМ)</t>
        </is>
      </c>
      <c r="C38" s="201">
        <f>SUM(C27:C37)</f>
        <v/>
      </c>
      <c r="D38" s="51" t="n"/>
      <c r="E38" s="53">
        <f>C38/$C$40</f>
        <v/>
      </c>
    </row>
    <row r="39" ht="13.5" customHeight="1" s="209">
      <c r="B39" s="51" t="inlineStr">
        <is>
          <t>Непредвиденные расходы - 3%</t>
        </is>
      </c>
      <c r="C39" s="201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201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201">
        <f>C40/'Прил.5 Расчет СМР и ОБ'!E157</f>
        <v/>
      </c>
      <c r="D41" s="51" t="n"/>
      <c r="E41" s="51" t="n"/>
    </row>
    <row r="42">
      <c r="B42" s="203" t="n"/>
      <c r="C42" s="196" t="n"/>
      <c r="D42" s="196" t="n"/>
      <c r="E42" s="196" t="n"/>
    </row>
    <row r="43">
      <c r="B43" s="196" t="inlineStr">
        <is>
          <t>Составил ______________________        Е.А. Князева</t>
        </is>
      </c>
      <c r="C43" s="99" t="n"/>
      <c r="D43" s="196" t="n"/>
      <c r="E43" s="196" t="n"/>
    </row>
    <row r="44">
      <c r="B44" s="206" t="inlineStr">
        <is>
          <t xml:space="preserve">                         (подпись, инициалы, фамилия)</t>
        </is>
      </c>
      <c r="C44" s="99" t="n"/>
      <c r="D44" s="196" t="n"/>
      <c r="E44" s="196" t="n"/>
    </row>
    <row r="45">
      <c r="B45" s="196" t="n"/>
      <c r="C45" s="99" t="n"/>
      <c r="D45" s="196" t="n"/>
      <c r="E45" s="196" t="n"/>
    </row>
    <row r="46">
      <c r="B46" s="196" t="inlineStr">
        <is>
          <t>Проверил ______________________        А.В. Костянецкая</t>
        </is>
      </c>
      <c r="C46" s="99" t="n"/>
      <c r="D46" s="196" t="n"/>
      <c r="E46" s="196" t="n"/>
    </row>
    <row r="47">
      <c r="B47" s="206" t="inlineStr">
        <is>
          <t xml:space="preserve">                        (подпись, инициалы, фамилия)</t>
        </is>
      </c>
      <c r="C47" s="99" t="n"/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64"/>
  <sheetViews>
    <sheetView tabSelected="1" view="pageBreakPreview" workbookViewId="0">
      <selection activeCell="L22" sqref="L22"/>
    </sheetView>
  </sheetViews>
  <sheetFormatPr baseColWidth="8" defaultColWidth="9.140625" defaultRowHeight="15" outlineLevelRow="1"/>
  <cols>
    <col width="5.7109375" customWidth="1" style="99" min="1" max="1"/>
    <col width="20.285156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13.85546875" customWidth="1" style="99" min="11" max="11"/>
    <col width="12.140625" customWidth="1" style="99" min="12" max="12"/>
    <col width="14.28515625" customWidth="1" style="99" min="13" max="13"/>
    <col width="9.140625" customWidth="1" style="99" min="14" max="14"/>
    <col width="9.140625" customWidth="1" style="209" min="15" max="15"/>
  </cols>
  <sheetData>
    <row r="2" ht="15.75" customHeight="1" s="209">
      <c r="I2" s="153" t="n"/>
      <c r="J2" s="95" t="inlineStr">
        <is>
          <t>Приложение №5</t>
        </is>
      </c>
    </row>
    <row r="4" ht="12.75" customFormat="1" customHeight="1" s="196">
      <c r="A4" s="260" t="inlineStr">
        <is>
          <t>Расчет стоимости СМР и оборудования</t>
        </is>
      </c>
      <c r="I4" s="260" t="n"/>
      <c r="J4" s="260" t="n"/>
    </row>
    <row r="5" ht="12.75" customFormat="1" customHeight="1" s="196">
      <c r="A5" s="260" t="n"/>
      <c r="B5" s="260" t="n"/>
      <c r="C5" s="260" t="n"/>
      <c r="D5" s="260" t="n"/>
      <c r="E5" s="260" t="n"/>
      <c r="F5" s="260" t="n"/>
      <c r="G5" s="260" t="n"/>
      <c r="H5" s="260" t="n"/>
      <c r="I5" s="260" t="n"/>
      <c r="J5" s="260" t="n"/>
    </row>
    <row r="6" ht="41.25" customFormat="1" customHeight="1" s="196">
      <c r="A6" s="143" t="inlineStr">
        <is>
          <t>Наименование разрабатываемого показателя УНЦ</t>
        </is>
      </c>
      <c r="B6" s="144" t="n"/>
      <c r="C6" s="144" t="n"/>
      <c r="D6" s="276" t="inlineStr">
        <is>
          <t>Строительно-монтажные работы ВЛ 0,4-750 кВ без опор и провода. Двухцепная, многогранные опоры 220 кВ</t>
        </is>
      </c>
    </row>
    <row r="7" ht="12.75" customFormat="1" customHeight="1" s="196">
      <c r="A7" s="276">
        <f>'Прил.1 Сравнит табл'!B9</f>
        <v/>
      </c>
      <c r="I7" s="261" t="n"/>
      <c r="J7" s="261" t="n"/>
    </row>
    <row r="8" ht="12.75" customFormat="1" customHeight="1" s="196"/>
    <row r="9" ht="27" customHeight="1" s="209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289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289" t="n"/>
    </row>
    <row r="10" ht="30" customHeight="1" s="209">
      <c r="A10" s="291" t="n"/>
      <c r="B10" s="291" t="n"/>
      <c r="C10" s="291" t="n"/>
      <c r="D10" s="291" t="n"/>
      <c r="E10" s="291" t="n"/>
      <c r="F10" s="263" t="inlineStr">
        <is>
          <t>на ед. изм.</t>
        </is>
      </c>
      <c r="G10" s="263" t="inlineStr">
        <is>
          <t>общая</t>
        </is>
      </c>
      <c r="H10" s="291" t="n"/>
      <c r="I10" s="263" t="inlineStr">
        <is>
          <t>на ед. изм.</t>
        </is>
      </c>
      <c r="J10" s="263" t="inlineStr">
        <is>
          <t>общая</t>
        </is>
      </c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63" t="n">
        <v>9</v>
      </c>
      <c r="J11" s="263" t="n">
        <v>10</v>
      </c>
      <c r="L11" s="89" t="n"/>
    </row>
    <row r="12">
      <c r="A12" s="263" t="n"/>
      <c r="B12" s="277" t="inlineStr">
        <is>
          <t>Затраты труда рабочих-строителей</t>
        </is>
      </c>
      <c r="C12" s="288" t="n"/>
      <c r="D12" s="288" t="n"/>
      <c r="E12" s="288" t="n"/>
      <c r="F12" s="288" t="n"/>
      <c r="G12" s="288" t="n"/>
      <c r="H12" s="289" t="n"/>
      <c r="I12" s="62" t="n"/>
      <c r="J12" s="62" t="n"/>
      <c r="L12" s="108" t="n"/>
    </row>
    <row r="13" ht="25.5" customHeight="1" s="209">
      <c r="A13" s="263" t="n">
        <v>1</v>
      </c>
      <c r="B13" s="110" t="inlineStr">
        <is>
          <t>1-3-6</t>
        </is>
      </c>
      <c r="C13" s="268" t="inlineStr">
        <is>
          <t>Затраты труда рабочих-строителей среднего разряда (3,6)</t>
        </is>
      </c>
      <c r="D13" s="263" t="inlineStr">
        <is>
          <t>чел.-ч.</t>
        </is>
      </c>
      <c r="E13" s="116" t="n">
        <v>129900.68941176</v>
      </c>
      <c r="F13" s="117" t="n">
        <v>9.18</v>
      </c>
      <c r="G13" s="117" t="n">
        <v>685338.12</v>
      </c>
      <c r="H13" s="278">
        <f>G13/$G$14</f>
        <v/>
      </c>
      <c r="I13" s="117">
        <f>ФОТр.тек.!E13</f>
        <v/>
      </c>
      <c r="J13" s="117">
        <f>ROUND(I13*E13,2)</f>
        <v/>
      </c>
    </row>
    <row r="14" ht="25.5" customFormat="1" customHeight="1" s="99">
      <c r="A14" s="263" t="n"/>
      <c r="B14" s="263" t="n"/>
      <c r="C14" s="277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116" t="n">
        <v>129900.68941176</v>
      </c>
      <c r="F14" s="117" t="n"/>
      <c r="G14" s="117">
        <f>SUM(G13:G13)</f>
        <v/>
      </c>
      <c r="H14" s="278" t="n">
        <v>1</v>
      </c>
      <c r="I14" s="117" t="n"/>
      <c r="J14" s="117">
        <f>SUM(J13:J13)</f>
        <v/>
      </c>
      <c r="L14" s="109" t="n"/>
    </row>
    <row r="15" ht="14.25" customFormat="1" customHeight="1" s="99">
      <c r="A15" s="263" t="n"/>
      <c r="B15" s="268" t="inlineStr">
        <is>
          <t>Затраты труда машинистов</t>
        </is>
      </c>
      <c r="C15" s="288" t="n"/>
      <c r="D15" s="288" t="n"/>
      <c r="E15" s="288" t="n"/>
      <c r="F15" s="288" t="n"/>
      <c r="G15" s="288" t="n"/>
      <c r="H15" s="289" t="n"/>
      <c r="I15" s="62" t="n"/>
      <c r="J15" s="62" t="n"/>
      <c r="L15" s="108" t="n"/>
    </row>
    <row r="16" ht="14.25" customFormat="1" customHeight="1" s="99">
      <c r="A16" s="263" t="n">
        <v>2</v>
      </c>
      <c r="B16" s="263" t="n">
        <v>2</v>
      </c>
      <c r="C16" s="268" t="inlineStr">
        <is>
          <t>Затраты труда машинистов</t>
        </is>
      </c>
      <c r="D16" s="263" t="inlineStr">
        <is>
          <t>чел.-ч.</t>
        </is>
      </c>
      <c r="E16" s="116" t="n">
        <v>42716.087718</v>
      </c>
      <c r="F16" s="117" t="n">
        <v>15.257154351366</v>
      </c>
      <c r="G16" s="117" t="n">
        <v>374555.14</v>
      </c>
      <c r="H16" s="278" t="n">
        <v>1</v>
      </c>
      <c r="I16" s="117">
        <f>ROUND(F16*Прил.10!D10,2)</f>
        <v/>
      </c>
      <c r="J16" s="117">
        <f>ROUND(I16*E16,2)</f>
        <v/>
      </c>
      <c r="L16" s="89" t="n"/>
    </row>
    <row r="17" ht="14.25" customFormat="1" customHeight="1" s="99">
      <c r="A17" s="263" t="n"/>
      <c r="B17" s="277" t="inlineStr">
        <is>
          <t>Машины и механизмы</t>
        </is>
      </c>
      <c r="C17" s="288" t="n"/>
      <c r="D17" s="288" t="n"/>
      <c r="E17" s="288" t="n"/>
      <c r="F17" s="288" t="n"/>
      <c r="G17" s="288" t="n"/>
      <c r="H17" s="289" t="n"/>
      <c r="I17" s="278" t="n"/>
      <c r="J17" s="278" t="n"/>
    </row>
    <row r="18" ht="14.25" customFormat="1" customHeight="1" s="99">
      <c r="A18" s="263" t="n"/>
      <c r="B18" s="268" t="inlineStr">
        <is>
          <t>Основные машины и механизмы</t>
        </is>
      </c>
      <c r="C18" s="288" t="n"/>
      <c r="D18" s="288" t="n"/>
      <c r="E18" s="288" t="n"/>
      <c r="F18" s="288" t="n"/>
      <c r="G18" s="288" t="n"/>
      <c r="H18" s="289" t="n"/>
      <c r="I18" s="62" t="n"/>
      <c r="J18" s="62" t="n"/>
    </row>
    <row r="19" ht="25.5" customFormat="1" customHeight="1" s="99">
      <c r="A19" s="263" t="n">
        <v>3</v>
      </c>
      <c r="B19" s="110" t="inlineStr">
        <is>
          <t>91.05.06-012</t>
        </is>
      </c>
      <c r="C19" s="268" t="inlineStr">
        <is>
          <t>Краны на гусеничном ходу, грузоподъемность до 16 т</t>
        </is>
      </c>
      <c r="D19" s="263" t="inlineStr">
        <is>
          <t>маш.-ч.</t>
        </is>
      </c>
      <c r="E19" s="116" t="n">
        <v>19134.657702549</v>
      </c>
      <c r="F19" s="282" t="n">
        <v>96.89</v>
      </c>
      <c r="G19" s="117">
        <f>ROUND(E19*F19,2)</f>
        <v/>
      </c>
      <c r="H19" s="278">
        <f>G19/$G$62</f>
        <v/>
      </c>
      <c r="I19" s="117">
        <f>ROUND(F19*Прил.10!$D$11,2)</f>
        <v/>
      </c>
      <c r="J19" s="117">
        <f>ROUND(I19*E19,2)</f>
        <v/>
      </c>
    </row>
    <row r="20" hidden="1" outlineLevel="1" ht="25.5" customFormat="1" customHeight="1" s="175">
      <c r="A20" s="236" t="n"/>
      <c r="B20" s="168" t="inlineStr">
        <is>
          <t>91.05.06-012</t>
        </is>
      </c>
      <c r="C20" s="235" t="inlineStr">
        <is>
          <t>Краны на гусеничном ходу, грузоподъемность до 16 т</t>
        </is>
      </c>
      <c r="D20" s="236" t="inlineStr">
        <is>
          <t>маш.-ч.</t>
        </is>
      </c>
      <c r="E20" s="191" t="n">
        <v>14482.926725152</v>
      </c>
      <c r="F20" s="237" t="n">
        <v>96.89</v>
      </c>
      <c r="G20" s="238">
        <f>ROUND(E20*F20,2)</f>
        <v/>
      </c>
      <c r="H20" s="174">
        <f>G20/$G$62</f>
        <v/>
      </c>
      <c r="I20" s="238" t="n"/>
      <c r="J20" s="238" t="n"/>
      <c r="K20" s="99" t="n"/>
    </row>
    <row r="21" hidden="1" outlineLevel="1" ht="25.5" customFormat="1" customHeight="1" s="175">
      <c r="A21" s="236" t="n"/>
      <c r="B21" s="168" t="inlineStr">
        <is>
          <t>91.05.06-007</t>
        </is>
      </c>
      <c r="C21" s="235" t="inlineStr">
        <is>
          <t>Краны на гусеничном ходу, грузоподъемность 25 т</t>
        </is>
      </c>
      <c r="D21" s="236" t="inlineStr">
        <is>
          <t>маш.-ч.</t>
        </is>
      </c>
      <c r="E21" s="191" t="n">
        <v>3754.6335754748</v>
      </c>
      <c r="F21" s="237" t="n">
        <v>120.04</v>
      </c>
      <c r="G21" s="238">
        <f>ROUND(E21*F21,2)</f>
        <v/>
      </c>
      <c r="H21" s="174">
        <f>G21/$G$62</f>
        <v/>
      </c>
      <c r="I21" s="238" t="n"/>
      <c r="J21" s="238" t="n"/>
      <c r="K21" s="99" t="n"/>
    </row>
    <row r="22" collapsed="1" ht="25.5" customFormat="1" customHeight="1" s="99">
      <c r="A22" s="263" t="n">
        <v>4</v>
      </c>
      <c r="B22" s="110" t="inlineStr">
        <is>
          <t>91.05.05-016</t>
        </is>
      </c>
      <c r="C22" s="268" t="inlineStr">
        <is>
          <t>Краны на автомобильном ходу, грузоподъемность 25 т</t>
        </is>
      </c>
      <c r="D22" s="263" t="inlineStr">
        <is>
          <t>маш.-ч.</t>
        </is>
      </c>
      <c r="E22" s="116" t="n">
        <v>3864.6478118506</v>
      </c>
      <c r="F22" s="282" t="n">
        <v>476.43</v>
      </c>
      <c r="G22" s="117">
        <f>ROUND(E22*F22,2)</f>
        <v/>
      </c>
      <c r="H22" s="278">
        <f>G22/$G$62</f>
        <v/>
      </c>
      <c r="I22" s="117">
        <f>ROUND(F22*Прил.10!$D$11,2)</f>
        <v/>
      </c>
      <c r="J22" s="117">
        <f>ROUND(I22*E22,2)</f>
        <v/>
      </c>
    </row>
    <row r="23" hidden="1" outlineLevel="1" ht="25.5" customFormat="1" customHeight="1" s="175">
      <c r="A23" s="236" t="n"/>
      <c r="B23" s="168" t="inlineStr">
        <is>
          <t>91.05.05-016</t>
        </is>
      </c>
      <c r="C23" s="235" t="inlineStr">
        <is>
          <t>Краны на автомобильном ходу, грузоподъемность 25 т</t>
        </is>
      </c>
      <c r="D23" s="236" t="inlineStr">
        <is>
          <t>маш.-ч.</t>
        </is>
      </c>
      <c r="E23" s="191" t="n">
        <v>2820.0028398715</v>
      </c>
      <c r="F23" s="237" t="n">
        <v>476.43</v>
      </c>
      <c r="G23" s="238">
        <f>ROUND(E23*F23,2)</f>
        <v/>
      </c>
      <c r="H23" s="174">
        <f>G23/$G$62</f>
        <v/>
      </c>
      <c r="I23" s="238" t="n"/>
      <c r="J23" s="238" t="n"/>
      <c r="K23" s="99" t="n"/>
    </row>
    <row r="24" hidden="1" outlineLevel="1" ht="25.5" customFormat="1" customHeight="1" s="175">
      <c r="A24" s="236" t="n"/>
      <c r="B24" s="168" t="inlineStr">
        <is>
          <t>91.05.05-015</t>
        </is>
      </c>
      <c r="C24" s="235" t="inlineStr">
        <is>
          <t>Краны на автомобильном ходу, грузоподъемность 16 т</t>
        </is>
      </c>
      <c r="D24" s="236" t="inlineStr">
        <is>
          <t>маш.-ч.</t>
        </is>
      </c>
      <c r="E24" s="191" t="n">
        <v>4312.8267244367</v>
      </c>
      <c r="F24" s="237" t="n">
        <v>115.4</v>
      </c>
      <c r="G24" s="238">
        <f>ROUND(E24*F24,2)</f>
        <v/>
      </c>
      <c r="H24" s="174">
        <f>G24/$G$62</f>
        <v/>
      </c>
      <c r="I24" s="238" t="n"/>
      <c r="J24" s="238" t="n"/>
      <c r="K24" s="99" t="n"/>
    </row>
    <row r="25" collapsed="1" ht="25.5" customFormat="1" customHeight="1" s="99">
      <c r="A25" s="263" t="n">
        <v>5</v>
      </c>
      <c r="B25" s="110" t="inlineStr">
        <is>
          <t>91.11.02-021</t>
        </is>
      </c>
      <c r="C25" s="268" t="inlineStr">
        <is>
          <t>Комплексы для монтажа проводов методом "под тяжением"</t>
        </is>
      </c>
      <c r="D25" s="263" t="inlineStr">
        <is>
          <t>маш.-ч.</t>
        </is>
      </c>
      <c r="E25" s="116" t="n">
        <v>1422.7273861641</v>
      </c>
      <c r="F25" s="282" t="n">
        <v>637.76</v>
      </c>
      <c r="G25" s="117">
        <f>ROUND(E25*F25,2)</f>
        <v/>
      </c>
      <c r="H25" s="278">
        <f>G25/$G$62</f>
        <v/>
      </c>
      <c r="I25" s="117">
        <f>ROUND(F25*Прил.10!$D$11,2)</f>
        <v/>
      </c>
      <c r="J25" s="117">
        <f>ROUND(I25*E25,2)</f>
        <v/>
      </c>
    </row>
    <row r="26" ht="25.5" customFormat="1" customHeight="1" s="99">
      <c r="A26" s="263" t="n">
        <v>6</v>
      </c>
      <c r="B26" s="110" t="inlineStr">
        <is>
          <t>91.06.06-014</t>
        </is>
      </c>
      <c r="C26" s="268" t="inlineStr">
        <is>
          <t>Автогидроподъемники, высота подъема 28 м</t>
        </is>
      </c>
      <c r="D26" s="263" t="inlineStr">
        <is>
          <t>маш.-ч.</t>
        </is>
      </c>
      <c r="E26" s="116" t="n">
        <v>2573.1913072405</v>
      </c>
      <c r="F26" s="282" t="n">
        <v>243.49</v>
      </c>
      <c r="G26" s="117">
        <f>ROUND(E26*F26,2)</f>
        <v/>
      </c>
      <c r="H26" s="278">
        <f>G26/$G$62</f>
        <v/>
      </c>
      <c r="I26" s="117">
        <f>ROUND(F26*Прил.10!$D$11,2)</f>
        <v/>
      </c>
      <c r="J26" s="117">
        <f>ROUND(I26*E26,2)</f>
        <v/>
      </c>
    </row>
    <row r="27" ht="25.5" customFormat="1" customHeight="1" s="99">
      <c r="A27" s="263" t="n">
        <v>7</v>
      </c>
      <c r="B27" s="110" t="inlineStr">
        <is>
          <t>91.15.02-029</t>
        </is>
      </c>
      <c r="C27" s="268" t="inlineStr">
        <is>
          <t>Тракторы на гусеничном ходу с лебедкой 132 кВт (180 л.с.)</t>
        </is>
      </c>
      <c r="D27" s="263" t="inlineStr">
        <is>
          <t>маш.-ч.</t>
        </is>
      </c>
      <c r="E27" s="116" t="n">
        <v>4071.6370589432</v>
      </c>
      <c r="F27" s="282" t="n">
        <v>147.43</v>
      </c>
      <c r="G27" s="117">
        <f>ROUND(E27*F27,2)</f>
        <v/>
      </c>
      <c r="H27" s="278">
        <f>G27/$G$62</f>
        <v/>
      </c>
      <c r="I27" s="117">
        <f>ROUND(F27*Прил.10!$D$11,2)</f>
        <v/>
      </c>
      <c r="J27" s="117">
        <f>ROUND(I27*E27,2)</f>
        <v/>
      </c>
    </row>
    <row r="28" ht="38.25" customFormat="1" customHeight="1" s="99">
      <c r="A28" s="263" t="n">
        <v>8</v>
      </c>
      <c r="B28" s="110" t="inlineStr">
        <is>
          <t>91.02.04-032</t>
        </is>
      </c>
      <c r="C28" s="268" t="inlineStr">
        <is>
          <t>Установки буровые для бурения скважин под сваи ковшового бурения, глубиной до 24 м, диаметром до 1200 мм</t>
        </is>
      </c>
      <c r="D28" s="263" t="inlineStr">
        <is>
          <t>маш.-ч.</t>
        </is>
      </c>
      <c r="E28" s="116" t="n">
        <v>3137.5234506407</v>
      </c>
      <c r="F28" s="282" t="n">
        <v>166.23</v>
      </c>
      <c r="G28" s="117">
        <f>ROUND(E28*F28,2)</f>
        <v/>
      </c>
      <c r="H28" s="278">
        <f>G28/$G$62</f>
        <v/>
      </c>
      <c r="I28" s="117">
        <f>ROUND(F28*Прил.10!$D$11,2)</f>
        <v/>
      </c>
      <c r="J28" s="117">
        <f>ROUND(I28*E28,2)</f>
        <v/>
      </c>
    </row>
    <row r="29" hidden="1" outlineLevel="1" ht="38.25" customFormat="1" customHeight="1" s="175">
      <c r="A29" s="236" t="n"/>
      <c r="B29" s="168" t="inlineStr">
        <is>
          <t>91.02.04-032</t>
        </is>
      </c>
      <c r="C29" s="235" t="inlineStr">
        <is>
          <t>Установки буровые для бурения скважин под сваи ковшового бурения, глубиной до 24 м, диаметром до 1200 мм</t>
        </is>
      </c>
      <c r="D29" s="236" t="inlineStr">
        <is>
          <t>маш.-ч.</t>
        </is>
      </c>
      <c r="E29" s="191" t="n">
        <v>1624.8583288215</v>
      </c>
      <c r="F29" s="237" t="n">
        <v>166.23</v>
      </c>
      <c r="G29" s="238">
        <f>ROUND(E29*F29,2)</f>
        <v/>
      </c>
      <c r="H29" s="174">
        <f>G29/$G$62</f>
        <v/>
      </c>
      <c r="I29" s="238" t="n"/>
      <c r="J29" s="238" t="n"/>
    </row>
    <row r="30" hidden="1" outlineLevel="1" ht="38.25" customFormat="1" customHeight="1" s="175">
      <c r="A30" s="236" t="n"/>
      <c r="B30" s="168" t="inlineStr">
        <is>
          <t>91.02.04-036</t>
        </is>
      </c>
      <c r="C30" s="235" t="inlineStr">
        <is>
          <t>Установки буровые для бурения скважин под сваи шнекового бурения, глубиной до 30 м, диаметром до 600 мм</t>
        </is>
      </c>
      <c r="D30" s="236" t="inlineStr">
        <is>
          <t>маш.-ч.</t>
        </is>
      </c>
      <c r="E30" s="191" t="n">
        <v>135.86416</v>
      </c>
      <c r="F30" s="237" t="n">
        <v>218.17</v>
      </c>
      <c r="G30" s="238">
        <f>ROUND(E30*F30,2)</f>
        <v/>
      </c>
      <c r="H30" s="174">
        <f>G30/$G$62</f>
        <v/>
      </c>
      <c r="I30" s="238" t="n"/>
      <c r="J30" s="238" t="n"/>
    </row>
    <row r="31" collapsed="1" ht="14.25" customFormat="1" customHeight="1" s="99">
      <c r="B31" s="263" t="n"/>
      <c r="C31" s="268" t="inlineStr">
        <is>
          <t>Итого основные машины и механизмы</t>
        </is>
      </c>
      <c r="D31" s="263" t="n"/>
      <c r="E31" s="75" t="n"/>
      <c r="F31" s="117" t="n"/>
      <c r="G31" s="117">
        <f>SUM(G25:G28)+G22+G19</f>
        <v/>
      </c>
      <c r="H31" s="278">
        <f>G31/G62</f>
        <v/>
      </c>
      <c r="I31" s="117" t="n"/>
      <c r="J31" s="117">
        <f>SUM(J19:J30)</f>
        <v/>
      </c>
      <c r="L31" s="108" t="n"/>
    </row>
    <row r="32" hidden="1" outlineLevel="1" ht="25.5" customFormat="1" customHeight="1" s="99">
      <c r="A32" s="263" t="n">
        <v>9</v>
      </c>
      <c r="B32" s="110" t="inlineStr">
        <is>
          <t>91.02.01-005</t>
        </is>
      </c>
      <c r="C32" s="268" t="inlineStr">
        <is>
          <t>Вибропогружатели низкочастотные для погружения свай-оболочек</t>
        </is>
      </c>
      <c r="D32" s="263" t="inlineStr">
        <is>
          <t>маш.-ч.</t>
        </is>
      </c>
      <c r="E32" s="116" t="n">
        <v>1279.1806548739</v>
      </c>
      <c r="F32" s="282" t="n">
        <v>106.28</v>
      </c>
      <c r="G32" s="117">
        <f>ROUND(E32*F32,2)</f>
        <v/>
      </c>
      <c r="H32" s="278">
        <f>G32/$G$62</f>
        <v/>
      </c>
      <c r="I32" s="117">
        <f>ROUND(F32*Прил.10!$D$11,2)</f>
        <v/>
      </c>
      <c r="J32" s="117">
        <f>ROUND(I32*E32,2)</f>
        <v/>
      </c>
      <c r="L32" s="108" t="n"/>
    </row>
    <row r="33" hidden="1" outlineLevel="1" ht="63.75" customFormat="1" customHeight="1" s="99">
      <c r="A33" s="263" t="n">
        <v>10</v>
      </c>
      <c r="B33" s="110" t="inlineStr">
        <is>
          <t>91.21.22-195</t>
        </is>
      </c>
      <c r="C33" s="26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33" s="263" t="inlineStr">
        <is>
          <t>маш.-ч.</t>
        </is>
      </c>
      <c r="E33" s="116" t="n">
        <v>872.91210358828</v>
      </c>
      <c r="F33" s="282" t="n">
        <v>91.13</v>
      </c>
      <c r="G33" s="117">
        <f>ROUND(E33*F33,2)</f>
        <v/>
      </c>
      <c r="H33" s="278">
        <f>G33/$G$62</f>
        <v/>
      </c>
      <c r="I33" s="117">
        <f>ROUND(F33*Прил.10!$D$11,2)</f>
        <v/>
      </c>
      <c r="J33" s="117">
        <f>ROUND(I33*E33,2)</f>
        <v/>
      </c>
      <c r="L33" s="108" t="n"/>
    </row>
    <row r="34" hidden="1" outlineLevel="1" ht="51" customFormat="1" customHeight="1" s="99">
      <c r="A34" s="263" t="n">
        <v>11</v>
      </c>
      <c r="B34" s="110" t="inlineStr">
        <is>
          <t>91.18.01-007</t>
        </is>
      </c>
      <c r="C34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63" t="inlineStr">
        <is>
          <t>маш.-ч.</t>
        </is>
      </c>
      <c r="E34" s="116" t="n">
        <v>872.96</v>
      </c>
      <c r="F34" s="282" t="n">
        <v>90</v>
      </c>
      <c r="G34" s="117">
        <f>ROUND(E34*F34,2)</f>
        <v/>
      </c>
      <c r="H34" s="278">
        <f>G34/$G$62</f>
        <v/>
      </c>
      <c r="I34" s="117">
        <f>ROUND(F34*Прил.10!$D$11,2)</f>
        <v/>
      </c>
      <c r="J34" s="117">
        <f>ROUND(I34*E34,2)</f>
        <v/>
      </c>
      <c r="L34" s="108" t="n"/>
    </row>
    <row r="35" hidden="1" outlineLevel="1" ht="14.25" customFormat="1" customHeight="1" s="99">
      <c r="A35" s="263" t="n">
        <v>12</v>
      </c>
      <c r="B35" s="110" t="inlineStr">
        <is>
          <t>91.21.22-447</t>
        </is>
      </c>
      <c r="C35" s="268" t="inlineStr">
        <is>
          <t>Установки электрометаллизационные</t>
        </is>
      </c>
      <c r="D35" s="263" t="inlineStr">
        <is>
          <t>маш.-ч.</t>
        </is>
      </c>
      <c r="E35" s="116" t="n">
        <v>1010.9284752155</v>
      </c>
      <c r="F35" s="282" t="n">
        <v>74.23999999999999</v>
      </c>
      <c r="G35" s="117">
        <f>ROUND(E35*F35,2)</f>
        <v/>
      </c>
      <c r="H35" s="278">
        <f>G35/$G$62</f>
        <v/>
      </c>
      <c r="I35" s="117">
        <f>ROUND(F35*Прил.10!$D$11,2)</f>
        <v/>
      </c>
      <c r="J35" s="117">
        <f>ROUND(I35*E35,2)</f>
        <v/>
      </c>
      <c r="L35" s="108" t="n"/>
    </row>
    <row r="36" hidden="1" outlineLevel="1" ht="14.25" customFormat="1" customHeight="1" s="99">
      <c r="A36" s="263" t="n">
        <v>13</v>
      </c>
      <c r="B36" s="110" t="inlineStr">
        <is>
          <t>91.14.04-002</t>
        </is>
      </c>
      <c r="C36" s="268" t="inlineStr">
        <is>
          <t>Тягачи седельные, грузоподъемность 15 т</t>
        </is>
      </c>
      <c r="D36" s="263" t="inlineStr">
        <is>
          <t>маш.-ч.</t>
        </is>
      </c>
      <c r="E36" s="116" t="n">
        <v>614.10544671248</v>
      </c>
      <c r="F36" s="282" t="n">
        <v>97.48999999999999</v>
      </c>
      <c r="G36" s="117">
        <f>ROUND(E36*F36,2)</f>
        <v/>
      </c>
      <c r="H36" s="278">
        <f>G36/$G$62</f>
        <v/>
      </c>
      <c r="I36" s="117">
        <f>ROUND(F36*Прил.10!$D$11,2)</f>
        <v/>
      </c>
      <c r="J36" s="117">
        <f>ROUND(I36*E36,2)</f>
        <v/>
      </c>
      <c r="L36" s="108" t="n"/>
    </row>
    <row r="37" hidden="1" outlineLevel="1" ht="25.5" customFormat="1" customHeight="1" s="99">
      <c r="A37" s="263" t="n">
        <v>14</v>
      </c>
      <c r="B37" s="110" t="inlineStr">
        <is>
          <t>91.10.05-001</t>
        </is>
      </c>
      <c r="C37" s="268" t="inlineStr">
        <is>
          <t>Трубоукладчики для труб диаметром 800-1000 мм, грузоподъемность 35 т</t>
        </is>
      </c>
      <c r="D37" s="263" t="inlineStr">
        <is>
          <t>маш.-ч.</t>
        </is>
      </c>
      <c r="E37" s="116" t="n">
        <v>182.16295205056</v>
      </c>
      <c r="F37" s="282" t="n">
        <v>210.43</v>
      </c>
      <c r="G37" s="117">
        <f>ROUND(E37*F37,2)</f>
        <v/>
      </c>
      <c r="H37" s="278">
        <f>G37/$G$62</f>
        <v/>
      </c>
      <c r="I37" s="117">
        <f>ROUND(F37*Прил.10!$D$11,2)</f>
        <v/>
      </c>
      <c r="J37" s="117">
        <f>ROUND(I37*E37,2)</f>
        <v/>
      </c>
      <c r="L37" s="108" t="n"/>
    </row>
    <row r="38" hidden="1" outlineLevel="1" ht="25.5" customFormat="1" customHeight="1" s="99">
      <c r="A38" s="263" t="n">
        <v>15</v>
      </c>
      <c r="B38" s="110" t="inlineStr">
        <is>
          <t>91.14.03-002</t>
        </is>
      </c>
      <c r="C38" s="268" t="inlineStr">
        <is>
          <t>Автомобили-самосвалы, грузоподъемность до 10 т</t>
        </is>
      </c>
      <c r="D38" s="263" t="inlineStr">
        <is>
          <t>маш.-ч.</t>
        </is>
      </c>
      <c r="E38" s="116" t="n">
        <v>312.14001600183</v>
      </c>
      <c r="F38" s="282" t="n">
        <v>87.48999999999999</v>
      </c>
      <c r="G38" s="117">
        <f>ROUND(E38*F38,2)</f>
        <v/>
      </c>
      <c r="H38" s="278">
        <f>G38/$G$62</f>
        <v/>
      </c>
      <c r="I38" s="117">
        <f>ROUND(F38*Прил.10!$D$11,2)</f>
        <v/>
      </c>
      <c r="J38" s="117">
        <f>ROUND(I38*E38,2)</f>
        <v/>
      </c>
      <c r="L38" s="108" t="n"/>
    </row>
    <row r="39" hidden="1" outlineLevel="1" ht="25.5" customFormat="1" customHeight="1" s="99">
      <c r="A39" s="263" t="n">
        <v>16</v>
      </c>
      <c r="B39" s="110" t="inlineStr">
        <is>
          <t>91.01.05-086</t>
        </is>
      </c>
      <c r="C39" s="268" t="inlineStr">
        <is>
          <t>Экскаваторы одноковшовые дизельные на гусеничном ходу, емкость ковша 0,65 м3</t>
        </is>
      </c>
      <c r="D39" s="263" t="inlineStr">
        <is>
          <t>маш.-ч.</t>
        </is>
      </c>
      <c r="E39" s="116" t="n">
        <v>130.88851937536</v>
      </c>
      <c r="F39" s="282" t="n">
        <v>138.32</v>
      </c>
      <c r="G39" s="117">
        <f>ROUND(E39*F39,2)</f>
        <v/>
      </c>
      <c r="H39" s="278">
        <f>G39/$G$62</f>
        <v/>
      </c>
      <c r="I39" s="117">
        <f>ROUND(F39*Прил.10!$D$11,2)</f>
        <v/>
      </c>
      <c r="J39" s="117">
        <f>ROUND(I39*E39,2)</f>
        <v/>
      </c>
      <c r="L39" s="108" t="n"/>
    </row>
    <row r="40" hidden="1" outlineLevel="1" ht="38.25" customFormat="1" customHeight="1" s="99">
      <c r="A40" s="263" t="n">
        <v>17</v>
      </c>
      <c r="B40" s="110" t="inlineStr">
        <is>
          <t>91.04.01-077</t>
        </is>
      </c>
      <c r="C40" s="268" t="inlineStr">
        <is>
          <t>Установки и агрегаты буровые на базе автомобилей глубина бурения до 200 м, грузоподъемность до 4 т</t>
        </is>
      </c>
      <c r="D40" s="263" t="inlineStr">
        <is>
          <t>маш.-ч.</t>
        </is>
      </c>
      <c r="E40" s="116" t="n">
        <v>65.34043521116099</v>
      </c>
      <c r="F40" s="282" t="n">
        <v>263.78</v>
      </c>
      <c r="G40" s="117">
        <f>ROUND(E40*F40,2)</f>
        <v/>
      </c>
      <c r="H40" s="278">
        <f>G40/$G$62</f>
        <v/>
      </c>
      <c r="I40" s="117">
        <f>ROUND(F40*Прил.10!$D$11,2)</f>
        <v/>
      </c>
      <c r="J40" s="117">
        <f>ROUND(I40*E40,2)</f>
        <v/>
      </c>
      <c r="L40" s="108" t="n"/>
    </row>
    <row r="41" hidden="1" outlineLevel="1" ht="25.5" customFormat="1" customHeight="1" s="99">
      <c r="A41" s="263" t="n">
        <v>18</v>
      </c>
      <c r="B41" s="110" t="inlineStr">
        <is>
          <t>91.14.05-012</t>
        </is>
      </c>
      <c r="C41" s="268" t="inlineStr">
        <is>
          <t>Полуприцепы общего назначения, грузоподъемность 15 т</t>
        </is>
      </c>
      <c r="D41" s="263" t="inlineStr">
        <is>
          <t>маш.-ч.</t>
        </is>
      </c>
      <c r="E41" s="116" t="n">
        <v>614.1386575208199</v>
      </c>
      <c r="F41" s="282" t="n">
        <v>20.41</v>
      </c>
      <c r="G41" s="117">
        <f>ROUND(E41*F41,2)</f>
        <v/>
      </c>
      <c r="H41" s="278">
        <f>G41/$G$62</f>
        <v/>
      </c>
      <c r="I41" s="117">
        <f>ROUND(F41*Прил.10!$D$11,2)</f>
        <v/>
      </c>
      <c r="J41" s="117">
        <f>ROUND(I41*E41,2)</f>
        <v/>
      </c>
      <c r="L41" s="108" t="n"/>
    </row>
    <row r="42" hidden="1" outlineLevel="1" ht="25.5" customFormat="1" customHeight="1" s="99">
      <c r="A42" s="263" t="n">
        <v>19</v>
      </c>
      <c r="B42" s="110" t="inlineStr">
        <is>
          <t>91.14.02-001</t>
        </is>
      </c>
      <c r="C42" s="268" t="inlineStr">
        <is>
          <t>Автомобили бортовые, грузоподъемность до 5 т</t>
        </is>
      </c>
      <c r="D42" s="263" t="inlineStr">
        <is>
          <t>маш.-ч.</t>
        </is>
      </c>
      <c r="E42" s="116" t="n">
        <v>172.7290960452</v>
      </c>
      <c r="F42" s="282" t="n">
        <v>70.8</v>
      </c>
      <c r="G42" s="117">
        <f>ROUND(E42*F42,2)</f>
        <v/>
      </c>
      <c r="H42" s="278">
        <f>G42/$G$62</f>
        <v/>
      </c>
      <c r="I42" s="117">
        <f>ROUND(F42*Прил.10!$D$11,2)</f>
        <v/>
      </c>
      <c r="J42" s="117">
        <f>ROUND(I42*E42,2)</f>
        <v/>
      </c>
      <c r="L42" s="108" t="n"/>
    </row>
    <row r="43" hidden="1" outlineLevel="1" ht="25.5" customFormat="1" customHeight="1" s="99">
      <c r="A43" s="263" t="n">
        <v>20</v>
      </c>
      <c r="B43" s="110" t="inlineStr">
        <is>
          <t>91.04.01-032</t>
        </is>
      </c>
      <c r="C43" s="268" t="inlineStr">
        <is>
          <t>Машины бурильно-крановые глубина бурения 1,5-3 м, мощность 66 кВт (90 л.с.)</t>
        </is>
      </c>
      <c r="D43" s="263" t="inlineStr">
        <is>
          <t>маш.-ч.</t>
        </is>
      </c>
      <c r="E43" s="116" t="n">
        <v>77.848770544018</v>
      </c>
      <c r="F43" s="282" t="n">
        <v>156.98</v>
      </c>
      <c r="G43" s="117">
        <f>ROUND(E43*F43,2)</f>
        <v/>
      </c>
      <c r="H43" s="278">
        <f>G43/$G$62</f>
        <v/>
      </c>
      <c r="I43" s="117">
        <f>ROUND(F43*Прил.10!$D$11,2)</f>
        <v/>
      </c>
      <c r="J43" s="117">
        <f>ROUND(I43*E43,2)</f>
        <v/>
      </c>
      <c r="L43" s="108" t="n"/>
    </row>
    <row r="44" hidden="1" outlineLevel="1" ht="38.25" customFormat="1" customHeight="1" s="99">
      <c r="A44" s="263" t="n">
        <v>21</v>
      </c>
      <c r="B44" s="110" t="inlineStr">
        <is>
          <t>91.17.04-036</t>
        </is>
      </c>
      <c r="C44" s="268" t="inlineStr">
        <is>
          <t>Агрегаты сварочные передвижные с дизельным двигателем, номинальный сварочный ток 250-400 А</t>
        </is>
      </c>
      <c r="D44" s="263" t="inlineStr">
        <is>
          <t>маш.-ч.</t>
        </is>
      </c>
      <c r="E44" s="116" t="n">
        <v>848.19621583742</v>
      </c>
      <c r="F44" s="282" t="n">
        <v>14.27</v>
      </c>
      <c r="G44" s="117">
        <f>ROUND(E44*F44,2)</f>
        <v/>
      </c>
      <c r="H44" s="278">
        <f>G44/$G$62</f>
        <v/>
      </c>
      <c r="I44" s="117">
        <f>ROUND(F44*Прил.10!$D$11,2)</f>
        <v/>
      </c>
      <c r="J44" s="117">
        <f>ROUND(I44*E44,2)</f>
        <v/>
      </c>
      <c r="L44" s="108" t="n"/>
    </row>
    <row r="45" hidden="1" outlineLevel="1" ht="38.25" customFormat="1" customHeight="1" s="99">
      <c r="A45" s="263" t="n">
        <v>22</v>
      </c>
      <c r="B45" s="110" t="inlineStr">
        <is>
          <t>91.19.06-011</t>
        </is>
      </c>
      <c r="C45" s="268" t="inlineStr">
        <is>
          <t>Насосы грязевые, подача 23,4-65,3 м3/ч, давление нагнетания 15,7-5,88 МПа (160-60 кгс/см2)</t>
        </is>
      </c>
      <c r="D45" s="263" t="inlineStr">
        <is>
          <t>маш.-ч.</t>
        </is>
      </c>
      <c r="E45" s="116" t="n">
        <v>323.018230563</v>
      </c>
      <c r="F45" s="282" t="n">
        <v>37.3</v>
      </c>
      <c r="G45" s="117">
        <f>ROUND(E45*F45,2)</f>
        <v/>
      </c>
      <c r="H45" s="278">
        <f>G45/$G$62</f>
        <v/>
      </c>
      <c r="I45" s="117">
        <f>ROUND(F45*Прил.10!$D$11,2)</f>
        <v/>
      </c>
      <c r="J45" s="117">
        <f>ROUND(I45*E45,2)</f>
        <v/>
      </c>
      <c r="L45" s="108" t="n"/>
    </row>
    <row r="46" hidden="1" outlineLevel="1" ht="25.5" customFormat="1" customHeight="1" s="99">
      <c r="A46" s="263" t="n">
        <v>23</v>
      </c>
      <c r="B46" s="110" t="inlineStr">
        <is>
          <t>91.05.14-023</t>
        </is>
      </c>
      <c r="C46" s="268" t="inlineStr">
        <is>
          <t>Краны на тракторе, мощность 121 кВт (165 л.с.), грузоподъемность 5 т</t>
        </is>
      </c>
      <c r="D46" s="263" t="inlineStr">
        <is>
          <t>маш.-ч.</t>
        </is>
      </c>
      <c r="E46" s="116" t="n">
        <v>63.839387308534</v>
      </c>
      <c r="F46" s="282" t="n">
        <v>182.8</v>
      </c>
      <c r="G46" s="117">
        <f>ROUND(E46*F46,2)</f>
        <v/>
      </c>
      <c r="H46" s="278">
        <f>G46/$G$62</f>
        <v/>
      </c>
      <c r="I46" s="117">
        <f>ROUND(F46*Прил.10!$D$11,2)</f>
        <v/>
      </c>
      <c r="J46" s="117">
        <f>ROUND(I46*E46,2)</f>
        <v/>
      </c>
      <c r="L46" s="108" t="n"/>
    </row>
    <row r="47" hidden="1" outlineLevel="1" ht="14.25" customFormat="1" customHeight="1" s="99">
      <c r="A47" s="263" t="n">
        <v>24</v>
      </c>
      <c r="B47" s="110" t="inlineStr">
        <is>
          <t>91.14.04-001</t>
        </is>
      </c>
      <c r="C47" s="268" t="inlineStr">
        <is>
          <t>Тягачи седельные, грузоподъемность 12 т</t>
        </is>
      </c>
      <c r="D47" s="263" t="inlineStr">
        <is>
          <t>маш.-ч.</t>
        </is>
      </c>
      <c r="E47" s="116" t="n">
        <v>66.750688705234</v>
      </c>
      <c r="F47" s="282" t="n">
        <v>123.42</v>
      </c>
      <c r="G47" s="117">
        <f>ROUND(E47*F47,2)</f>
        <v/>
      </c>
      <c r="H47" s="278">
        <f>G47/$G$62</f>
        <v/>
      </c>
      <c r="I47" s="117">
        <f>ROUND(F47*Прил.10!$D$11,2)</f>
        <v/>
      </c>
      <c r="J47" s="117">
        <f>ROUND(I47*E47,2)</f>
        <v/>
      </c>
      <c r="L47" s="108" t="n"/>
    </row>
    <row r="48" hidden="1" outlineLevel="1" ht="14.25" customFormat="1" customHeight="1" s="99">
      <c r="A48" s="263" t="n">
        <v>25</v>
      </c>
      <c r="B48" s="110" t="inlineStr">
        <is>
          <t>91.07.08-011</t>
        </is>
      </c>
      <c r="C48" s="268" t="inlineStr">
        <is>
          <t>Глиномешалки, 4 м3</t>
        </is>
      </c>
      <c r="D48" s="263" t="inlineStr">
        <is>
          <t>маш.-ч.</t>
        </is>
      </c>
      <c r="E48" s="116" t="n">
        <v>155.11257861635</v>
      </c>
      <c r="F48" s="282" t="n">
        <v>31.8</v>
      </c>
      <c r="G48" s="117">
        <f>ROUND(E48*F48,2)</f>
        <v/>
      </c>
      <c r="H48" s="278">
        <f>G48/$G$62</f>
        <v/>
      </c>
      <c r="I48" s="117">
        <f>ROUND(F48*Прил.10!$D$11,2)</f>
        <v/>
      </c>
      <c r="J48" s="117">
        <f>ROUND(I48*E48,2)</f>
        <v/>
      </c>
      <c r="L48" s="108" t="n"/>
    </row>
    <row r="49" hidden="1" outlineLevel="1" ht="14.25" customFormat="1" customHeight="1" s="99">
      <c r="A49" s="263" t="n">
        <v>26</v>
      </c>
      <c r="B49" s="110" t="inlineStr">
        <is>
          <t>91.01.01-035</t>
        </is>
      </c>
      <c r="C49" s="268" t="inlineStr">
        <is>
          <t>Бульдозеры, мощность 79 кВт (108 л.с.)</t>
        </is>
      </c>
      <c r="D49" s="263" t="inlineStr">
        <is>
          <t>маш.-ч.</t>
        </is>
      </c>
      <c r="E49" s="116" t="n">
        <v>50.083261525205</v>
      </c>
      <c r="F49" s="282" t="n">
        <v>92.84</v>
      </c>
      <c r="G49" s="117">
        <f>ROUND(E49*F49,2)</f>
        <v/>
      </c>
      <c r="H49" s="278">
        <f>G49/$G$62</f>
        <v/>
      </c>
      <c r="I49" s="117">
        <f>ROUND(F49*Прил.10!$D$11,2)</f>
        <v/>
      </c>
      <c r="J49" s="117">
        <f>ROUND(I49*E49,2)</f>
        <v/>
      </c>
      <c r="L49" s="108" t="n"/>
    </row>
    <row r="50" hidden="1" outlineLevel="1" ht="25.5" customFormat="1" customHeight="1" s="99">
      <c r="A50" s="263" t="n">
        <v>27</v>
      </c>
      <c r="B50" s="110" t="inlineStr">
        <is>
          <t>91.13.03-111</t>
        </is>
      </c>
      <c r="C50" s="268" t="inlineStr">
        <is>
          <t>Спецавтомобили-вездеходы, грузоподъемность до 8 т</t>
        </is>
      </c>
      <c r="D50" s="263" t="inlineStr">
        <is>
          <t>маш.-ч.</t>
        </is>
      </c>
      <c r="E50" s="116" t="n">
        <v>12.879764160876</v>
      </c>
      <c r="F50" s="282" t="n">
        <v>189.96</v>
      </c>
      <c r="G50" s="117">
        <f>ROUND(E50*F50,2)</f>
        <v/>
      </c>
      <c r="H50" s="278">
        <f>G50/$G$62</f>
        <v/>
      </c>
      <c r="I50" s="117">
        <f>ROUND(F50*Прил.10!$D$11,2)</f>
        <v/>
      </c>
      <c r="J50" s="117">
        <f>ROUND(I50*E50,2)</f>
        <v/>
      </c>
      <c r="L50" s="108" t="n"/>
    </row>
    <row r="51" hidden="1" outlineLevel="1" ht="51" customFormat="1" customHeight="1" s="99">
      <c r="A51" s="263" t="n">
        <v>28</v>
      </c>
      <c r="B51" s="110" t="inlineStr">
        <is>
          <t>91.07.07-002</t>
        </is>
      </c>
      <c r="C51" s="268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D51" s="263" t="inlineStr">
        <is>
          <t>маш.-ч.</t>
        </is>
      </c>
      <c r="E51" s="116" t="n">
        <v>151.54592979836</v>
      </c>
      <c r="F51" s="282" t="n">
        <v>13.39</v>
      </c>
      <c r="G51" s="117">
        <f>ROUND(E51*F51,2)</f>
        <v/>
      </c>
      <c r="H51" s="278">
        <f>G51/$G$62</f>
        <v/>
      </c>
      <c r="I51" s="117">
        <f>ROUND(F51*Прил.10!$D$11,2)</f>
        <v/>
      </c>
      <c r="J51" s="117">
        <f>ROUND(I51*E51,2)</f>
        <v/>
      </c>
      <c r="L51" s="108" t="n"/>
    </row>
    <row r="52" hidden="1" outlineLevel="1" ht="25.5" customFormat="1" customHeight="1" s="99">
      <c r="A52" s="263" t="n">
        <v>29</v>
      </c>
      <c r="B52" s="110" t="inlineStr">
        <is>
          <t>91.21.16-012</t>
        </is>
      </c>
      <c r="C52" s="268" t="inlineStr">
        <is>
          <t>Прессы гидравлические с электроприводом</t>
        </is>
      </c>
      <c r="D52" s="263" t="inlineStr">
        <is>
          <t>маш.-ч.</t>
        </is>
      </c>
      <c r="E52" s="116" t="n">
        <v>1664.347826087</v>
      </c>
      <c r="F52" s="282" t="n">
        <v>1.15</v>
      </c>
      <c r="G52" s="117">
        <f>ROUND(E52*F52,2)</f>
        <v/>
      </c>
      <c r="H52" s="278">
        <f>G52/$G$62</f>
        <v/>
      </c>
      <c r="I52" s="117">
        <f>ROUND(F52*Прил.10!$D$11,2)</f>
        <v/>
      </c>
      <c r="J52" s="117">
        <f>ROUND(I52*E52,2)</f>
        <v/>
      </c>
      <c r="L52" s="108" t="n"/>
    </row>
    <row r="53" hidden="1" outlineLevel="1" ht="14.25" customFormat="1" customHeight="1" s="99">
      <c r="A53" s="263" t="n">
        <v>30</v>
      </c>
      <c r="B53" s="110" t="inlineStr">
        <is>
          <t>91.08.04-021</t>
        </is>
      </c>
      <c r="C53" s="268" t="inlineStr">
        <is>
          <t>Котлы битумные передвижные 400 л</t>
        </is>
      </c>
      <c r="D53" s="263" t="inlineStr">
        <is>
          <t>маш.-ч.</t>
        </is>
      </c>
      <c r="E53" s="116" t="n">
        <v>58.780333333333</v>
      </c>
      <c r="F53" s="282" t="n">
        <v>30</v>
      </c>
      <c r="G53" s="117">
        <f>ROUND(E53*F53,2)</f>
        <v/>
      </c>
      <c r="H53" s="278">
        <f>G53/$G$62</f>
        <v/>
      </c>
      <c r="I53" s="117">
        <f>ROUND(F53*Прил.10!$D$11,2)</f>
        <v/>
      </c>
      <c r="J53" s="117">
        <f>ROUND(I53*E53,2)</f>
        <v/>
      </c>
      <c r="L53" s="108" t="n"/>
    </row>
    <row r="54" hidden="1" outlineLevel="1" ht="25.5" customFormat="1" customHeight="1" s="99">
      <c r="A54" s="263" t="n">
        <v>31</v>
      </c>
      <c r="B54" s="110" t="inlineStr">
        <is>
          <t>91.14.02-002</t>
        </is>
      </c>
      <c r="C54" s="268" t="inlineStr">
        <is>
          <t>Автомобили бортовые, грузоподъемность до 8 т</t>
        </is>
      </c>
      <c r="D54" s="263" t="inlineStr">
        <is>
          <t>маш.-ч.</t>
        </is>
      </c>
      <c r="E54" s="116" t="n">
        <v>16.826502095948</v>
      </c>
      <c r="F54" s="282" t="n">
        <v>85.88</v>
      </c>
      <c r="G54" s="117">
        <f>ROUND(E54*F54,2)</f>
        <v/>
      </c>
      <c r="H54" s="278">
        <f>G54/$G$62</f>
        <v/>
      </c>
      <c r="I54" s="117">
        <f>ROUND(F54*Прил.10!$D$11,2)</f>
        <v/>
      </c>
      <c r="J54" s="117">
        <f>ROUND(I54*E54,2)</f>
        <v/>
      </c>
      <c r="L54" s="108" t="n"/>
    </row>
    <row r="55" hidden="1" outlineLevel="1" ht="14.25" customFormat="1" customHeight="1" s="99">
      <c r="A55" s="263" t="n">
        <v>32</v>
      </c>
      <c r="B55" s="110" t="inlineStr">
        <is>
          <t>91.06.05-011</t>
        </is>
      </c>
      <c r="C55" s="268" t="inlineStr">
        <is>
          <t>Погрузчики, грузоподъемность 5 т</t>
        </is>
      </c>
      <c r="D55" s="263" t="inlineStr">
        <is>
          <t>маш.-ч.</t>
        </is>
      </c>
      <c r="E55" s="116" t="n">
        <v>10.753888888889</v>
      </c>
      <c r="F55" s="282" t="n">
        <v>90</v>
      </c>
      <c r="G55" s="117">
        <f>ROUND(E55*F55,2)</f>
        <v/>
      </c>
      <c r="H55" s="278">
        <f>G55/$G$62</f>
        <v/>
      </c>
      <c r="I55" s="117">
        <f>ROUND(F55*Прил.10!$D$11,2)</f>
        <v/>
      </c>
      <c r="J55" s="117">
        <f>ROUND(I55*E55,2)</f>
        <v/>
      </c>
      <c r="L55" s="108" t="n"/>
    </row>
    <row r="56" hidden="1" outlineLevel="1" ht="25.5" customFormat="1" customHeight="1" s="99">
      <c r="A56" s="263" t="n">
        <v>33</v>
      </c>
      <c r="B56" s="110" t="inlineStr">
        <is>
          <t>91.14.05-011</t>
        </is>
      </c>
      <c r="C56" s="268" t="inlineStr">
        <is>
          <t>Полуприцепы общего назначения, грузоподъемность 12 т</t>
        </is>
      </c>
      <c r="D56" s="263" t="inlineStr">
        <is>
          <t>маш.-ч.</t>
        </is>
      </c>
      <c r="E56" s="116" t="n">
        <v>66.751388888889</v>
      </c>
      <c r="F56" s="282" t="n">
        <v>14.4</v>
      </c>
      <c r="G56" s="117">
        <f>ROUND(E56*F56,2)</f>
        <v/>
      </c>
      <c r="H56" s="278">
        <f>G56/$G$62</f>
        <v/>
      </c>
      <c r="I56" s="117">
        <f>ROUND(F56*Прил.10!$D$11,2)</f>
        <v/>
      </c>
      <c r="J56" s="117">
        <f>ROUND(I56*E56,2)</f>
        <v/>
      </c>
      <c r="L56" s="108" t="n"/>
    </row>
    <row r="57" hidden="1" outlineLevel="1" ht="38.25" customFormat="1" customHeight="1" s="99">
      <c r="A57" s="263" t="n">
        <v>34</v>
      </c>
      <c r="B57" s="110" t="inlineStr">
        <is>
          <t>91.19.04-004</t>
        </is>
      </c>
      <c r="C57" s="268" t="inlineStr">
        <is>
          <t>Насосы для нагнетания воды, содержащей твердые частицы, подача 45 м3/ч, напор до 55 м</t>
        </is>
      </c>
      <c r="D57" s="263" t="inlineStr">
        <is>
          <t>маш.-ч.</t>
        </is>
      </c>
      <c r="E57" s="116" t="n">
        <v>65.35561268209101</v>
      </c>
      <c r="F57" s="282" t="n">
        <v>11.67</v>
      </c>
      <c r="G57" s="117">
        <f>ROUND(E57*F57,2)</f>
        <v/>
      </c>
      <c r="H57" s="278">
        <f>G57/$G$62</f>
        <v/>
      </c>
      <c r="I57" s="117">
        <f>ROUND(F57*Прил.10!$D$11,2)</f>
        <v/>
      </c>
      <c r="J57" s="117">
        <f>ROUND(I57*E57,2)</f>
        <v/>
      </c>
      <c r="L57" s="108" t="n"/>
    </row>
    <row r="58" hidden="1" outlineLevel="1" ht="14.25" customFormat="1" customHeight="1" s="99">
      <c r="A58" s="263" t="n">
        <v>35</v>
      </c>
      <c r="B58" s="110" t="inlineStr">
        <is>
          <t>91.07.04-001</t>
        </is>
      </c>
      <c r="C58" s="268" t="inlineStr">
        <is>
          <t>Вибраторы глубинные</t>
        </is>
      </c>
      <c r="D58" s="263" t="inlineStr">
        <is>
          <t>маш.-ч.</t>
        </is>
      </c>
      <c r="E58" s="116" t="n">
        <v>296.41203703704</v>
      </c>
      <c r="F58" s="282" t="n">
        <v>2.16</v>
      </c>
      <c r="G58" s="117">
        <f>ROUND(E58*F58,2)</f>
        <v/>
      </c>
      <c r="H58" s="278">
        <f>G58/$G$62</f>
        <v/>
      </c>
      <c r="I58" s="117">
        <f>ROUND(F58*Прил.10!$D$11,2)</f>
        <v/>
      </c>
      <c r="J58" s="117">
        <f>ROUND(I58*E58,2)</f>
        <v/>
      </c>
      <c r="L58" s="108" t="n"/>
    </row>
    <row r="59" hidden="1" outlineLevel="1" ht="25.5" customFormat="1" customHeight="1" s="99">
      <c r="A59" s="263" t="n">
        <v>36</v>
      </c>
      <c r="B59" s="110" t="inlineStr">
        <is>
          <t>91.08.09-024</t>
        </is>
      </c>
      <c r="C59" s="268" t="inlineStr">
        <is>
          <t>Трамбовки пневматические при работе от стационарного компрессора</t>
        </is>
      </c>
      <c r="D59" s="263" t="inlineStr">
        <is>
          <t>маш.-ч.</t>
        </is>
      </c>
      <c r="E59" s="116" t="n">
        <v>19.197556008147</v>
      </c>
      <c r="F59" s="282" t="n">
        <v>4.91</v>
      </c>
      <c r="G59" s="117">
        <f>ROUND(E59*F59,2)</f>
        <v/>
      </c>
      <c r="H59" s="278">
        <f>G59/$G$62</f>
        <v/>
      </c>
      <c r="I59" s="117">
        <f>ROUND(F59*Прил.10!$D$11,2)</f>
        <v/>
      </c>
      <c r="J59" s="117">
        <f>ROUND(I59*E59,2)</f>
        <v/>
      </c>
      <c r="L59" s="108" t="n"/>
    </row>
    <row r="60" hidden="1" outlineLevel="1" ht="25.5" customFormat="1" customHeight="1" s="99">
      <c r="A60" s="263" t="n">
        <v>37</v>
      </c>
      <c r="B60" s="110" t="inlineStr">
        <is>
          <t>91.14.03-001</t>
        </is>
      </c>
      <c r="C60" s="268" t="inlineStr">
        <is>
          <t>Автомобили-самосвалы, грузоподъемность до 7 т</t>
        </is>
      </c>
      <c r="D60" s="263" t="inlineStr">
        <is>
          <t>маш.-ч.</t>
        </is>
      </c>
      <c r="E60" s="116" t="n">
        <v>0.44799463747067</v>
      </c>
      <c r="F60" s="282" t="n">
        <v>89.51000000000001</v>
      </c>
      <c r="G60" s="117">
        <f>ROUND(E60*F60,2)</f>
        <v/>
      </c>
      <c r="H60" s="278">
        <f>G60/$G$62</f>
        <v/>
      </c>
      <c r="I60" s="117">
        <f>ROUND(F60*Прил.10!$D$11,2)</f>
        <v/>
      </c>
      <c r="J60" s="117">
        <f>ROUND(I60*E60,2)</f>
        <v/>
      </c>
      <c r="L60" s="108" t="n"/>
    </row>
    <row r="61" collapsed="1" ht="14.25" customFormat="1" customHeight="1" s="99">
      <c r="A61" s="263" t="n"/>
      <c r="B61" s="110" t="n"/>
      <c r="C61" s="268" t="inlineStr">
        <is>
          <t>Итого прочие машины и механизмы</t>
        </is>
      </c>
      <c r="D61" s="263" t="n"/>
      <c r="E61" s="116" t="n"/>
      <c r="F61" s="282" t="n"/>
      <c r="G61" s="117">
        <f>SUM(G32:G60)</f>
        <v/>
      </c>
      <c r="H61" s="278">
        <f>G61/G62</f>
        <v/>
      </c>
      <c r="I61" s="117" t="n"/>
      <c r="J61" s="117">
        <f>SUM(J32:J60)</f>
        <v/>
      </c>
      <c r="K61" s="67" t="n"/>
      <c r="L61" s="108" t="n"/>
    </row>
    <row r="62" ht="25.5" customFormat="1" customHeight="1" s="99">
      <c r="A62" s="263" t="n"/>
      <c r="B62" s="264" t="n"/>
      <c r="C62" s="272" t="inlineStr">
        <is>
          <t>Итого по разделу «Машины и механизмы»</t>
        </is>
      </c>
      <c r="D62" s="264" t="n"/>
      <c r="E62" s="79" t="n"/>
      <c r="F62" s="80" t="n"/>
      <c r="G62" s="80">
        <f>G31+G61</f>
        <v/>
      </c>
      <c r="H62" s="81" t="n">
        <v>1</v>
      </c>
      <c r="I62" s="80" t="n"/>
      <c r="J62" s="80">
        <f>J31+J61</f>
        <v/>
      </c>
    </row>
    <row r="63" s="209">
      <c r="A63" s="114" t="n"/>
      <c r="B63" s="272" t="inlineStr">
        <is>
          <t xml:space="preserve">Оборудование </t>
        </is>
      </c>
      <c r="C63" s="292" t="n"/>
      <c r="D63" s="292" t="n"/>
      <c r="E63" s="292" t="n"/>
      <c r="F63" s="292" t="n"/>
      <c r="G63" s="292" t="n"/>
      <c r="H63" s="292" t="n"/>
      <c r="I63" s="292" t="n"/>
      <c r="J63" s="293" t="n"/>
      <c r="K63" s="99" t="n"/>
      <c r="L63" s="99" t="n"/>
      <c r="M63" s="99" t="n"/>
      <c r="N63" s="99" t="n"/>
    </row>
    <row r="64" ht="15" customHeight="1" s="209">
      <c r="A64" s="263" t="n"/>
      <c r="B64" s="268" t="inlineStr">
        <is>
          <t>Основное оборудование</t>
        </is>
      </c>
      <c r="C64" s="288" t="n"/>
      <c r="D64" s="288" t="n"/>
      <c r="E64" s="288" t="n"/>
      <c r="F64" s="288" t="n"/>
      <c r="G64" s="288" t="n"/>
      <c r="H64" s="288" t="n"/>
      <c r="I64" s="288" t="n"/>
      <c r="J64" s="289" t="n"/>
      <c r="K64" s="99" t="n"/>
      <c r="L64" s="99" t="n"/>
      <c r="M64" s="99" t="n"/>
      <c r="N64" s="99" t="n"/>
    </row>
    <row r="65" s="209">
      <c r="A65" s="118" t="n"/>
      <c r="B65" s="263" t="n"/>
      <c r="C65" s="268" t="inlineStr">
        <is>
          <t>Итого основное оборудование</t>
        </is>
      </c>
      <c r="D65" s="263" t="n"/>
      <c r="E65" s="116" t="n"/>
      <c r="F65" s="270" t="n"/>
      <c r="G65" s="117" t="n">
        <v>0</v>
      </c>
      <c r="H65" s="278" t="n"/>
      <c r="I65" s="117" t="n"/>
      <c r="J65" s="117" t="n">
        <v>0</v>
      </c>
      <c r="K65" s="67" t="n"/>
      <c r="L65" s="99" t="n"/>
      <c r="M65" s="99" t="n"/>
      <c r="N65" s="99" t="n"/>
    </row>
    <row r="66" s="209">
      <c r="A66" s="118" t="n"/>
      <c r="B66" s="263" t="n"/>
      <c r="C66" s="268" t="inlineStr">
        <is>
          <t>Итого прочее оборудование</t>
        </is>
      </c>
      <c r="D66" s="263" t="n"/>
      <c r="E66" s="269" t="n"/>
      <c r="F66" s="270" t="n"/>
      <c r="G66" s="117" t="n">
        <v>0</v>
      </c>
      <c r="H66" s="278" t="n"/>
      <c r="I66" s="117" t="n"/>
      <c r="J66" s="117" t="n">
        <v>0</v>
      </c>
      <c r="K66" s="67" t="n"/>
      <c r="L66" s="149" t="n"/>
      <c r="M66" s="99" t="n"/>
      <c r="N66" s="99" t="n"/>
    </row>
    <row r="67" s="209">
      <c r="A67" s="263" t="n"/>
      <c r="B67" s="263" t="n"/>
      <c r="C67" s="277" t="inlineStr">
        <is>
          <t>Итого по разделу «Оборудование»</t>
        </is>
      </c>
      <c r="D67" s="263" t="n"/>
      <c r="E67" s="269" t="n"/>
      <c r="F67" s="270" t="n"/>
      <c r="G67" s="117">
        <f>G65+G66</f>
        <v/>
      </c>
      <c r="H67" s="278" t="n"/>
      <c r="I67" s="117" t="n"/>
      <c r="J67" s="117">
        <f>J66+J65</f>
        <v/>
      </c>
      <c r="K67" s="67" t="n"/>
      <c r="L67" s="99" t="n"/>
      <c r="M67" s="99" t="n"/>
      <c r="N67" s="99" t="n"/>
    </row>
    <row r="68" ht="25.5" customHeight="1" s="209">
      <c r="A68" s="263" t="n"/>
      <c r="B68" s="263" t="n"/>
      <c r="C68" s="268" t="inlineStr">
        <is>
          <t>в том числе технологическое оборудование</t>
        </is>
      </c>
      <c r="D68" s="263" t="n"/>
      <c r="E68" s="269" t="n"/>
      <c r="F68" s="270" t="n"/>
      <c r="G68" s="117">
        <f>'Прил.6 Расчет ОБ'!G14</f>
        <v/>
      </c>
      <c r="H68" s="278" t="n"/>
      <c r="I68" s="117" t="n"/>
      <c r="J68" s="117">
        <f>ROUND(G68*Прил.10!$D$13,2)</f>
        <v/>
      </c>
      <c r="K68" s="67" t="n"/>
      <c r="L68" s="99" t="n"/>
      <c r="M68" s="99" t="n"/>
      <c r="N68" s="99" t="n"/>
    </row>
    <row r="69" ht="14.25" customFormat="1" customHeight="1" s="99">
      <c r="A69" s="265" t="n"/>
      <c r="B69" s="294" t="inlineStr">
        <is>
          <t>Материалы</t>
        </is>
      </c>
      <c r="J69" s="295" t="n"/>
      <c r="K69" s="67" t="n"/>
    </row>
    <row r="70" ht="14.25" customFormat="1" customHeight="1" s="99">
      <c r="A70" s="263" t="n"/>
      <c r="B70" s="268" t="inlineStr">
        <is>
          <t>Основные материалы</t>
        </is>
      </c>
      <c r="C70" s="288" t="n"/>
      <c r="D70" s="288" t="n"/>
      <c r="E70" s="288" t="n"/>
      <c r="F70" s="288" t="n"/>
      <c r="G70" s="288" t="n"/>
      <c r="H70" s="289" t="n"/>
      <c r="I70" s="278" t="n"/>
      <c r="J70" s="278" t="n"/>
    </row>
    <row r="71" ht="14.25" customFormat="1" customHeight="1" s="99">
      <c r="A71" s="263" t="n">
        <v>38</v>
      </c>
      <c r="B71" s="110" t="inlineStr">
        <is>
          <t>БЦ.114.11</t>
        </is>
      </c>
      <c r="C71" s="268" t="inlineStr">
        <is>
          <t>Свая-оболочка для многогранных опор</t>
        </is>
      </c>
      <c r="D71" s="263" t="inlineStr">
        <is>
          <t>т</t>
        </is>
      </c>
      <c r="E71" s="116" t="n">
        <v>8548.968000000001</v>
      </c>
      <c r="F71" s="282" t="n">
        <v>23728.72</v>
      </c>
      <c r="G71" s="189">
        <f>ROUND(F71*E71,2)</f>
        <v/>
      </c>
      <c r="H71" s="190">
        <f>G71/$G$151</f>
        <v/>
      </c>
      <c r="I71" s="189" t="n">
        <v>233490.57</v>
      </c>
      <c r="J71" s="189">
        <f>ROUND(I71*E71,2)</f>
        <v/>
      </c>
    </row>
    <row r="72" hidden="1" outlineLevel="1" ht="63.75" customFormat="1" customHeight="1" s="175">
      <c r="A72" s="263" t="n"/>
      <c r="B72" s="168" t="inlineStr">
        <is>
          <t>23.5.02.01-0002</t>
        </is>
      </c>
      <c r="C72" s="235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D72" s="236" t="inlineStr">
        <is>
          <t>м</t>
        </is>
      </c>
      <c r="E72" s="191" t="n">
        <v>8356.419599999999</v>
      </c>
      <c r="F72" s="237" t="n">
        <v>4006.39</v>
      </c>
      <c r="G72" s="243">
        <f>ROUND(F72*E72,2)</f>
        <v/>
      </c>
      <c r="H72" s="244">
        <f>G72/$G$151</f>
        <v/>
      </c>
      <c r="I72" s="189" t="n"/>
      <c r="J72" s="189" t="n"/>
      <c r="K72" s="99" t="n"/>
      <c r="L72" s="99" t="n"/>
    </row>
    <row r="73" hidden="1" outlineLevel="1" ht="63.75" customFormat="1" customHeight="1" s="175">
      <c r="A73" s="263" t="n"/>
      <c r="B73" s="180" t="inlineStr">
        <is>
          <t>23.5.02.01-0008</t>
        </is>
      </c>
      <c r="C73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D73" s="182" t="inlineStr">
        <is>
          <t>м</t>
        </is>
      </c>
      <c r="E73" s="191" t="n">
        <v>154.4598</v>
      </c>
      <c r="F73" s="183" t="n">
        <v>4559.76</v>
      </c>
      <c r="G73" s="243">
        <f>ROUND(F73*E73,2)</f>
        <v/>
      </c>
      <c r="H73" s="244">
        <f>G73/$G$151</f>
        <v/>
      </c>
      <c r="I73" s="189" t="n"/>
      <c r="J73" s="189" t="n"/>
      <c r="K73" s="99" t="n"/>
      <c r="L73" s="99" t="n"/>
    </row>
    <row r="74" hidden="1" outlineLevel="1" ht="63.75" customFormat="1" customHeight="1" s="175">
      <c r="A74" s="263" t="n"/>
      <c r="B74" s="180" t="inlineStr">
        <is>
          <t>23.5.02.01-0027</t>
        </is>
      </c>
      <c r="C74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D74" s="182" t="inlineStr">
        <is>
          <t>м</t>
        </is>
      </c>
      <c r="E74" s="191" t="n">
        <v>1146.2772</v>
      </c>
      <c r="F74" s="183" t="n">
        <v>8701.52</v>
      </c>
      <c r="G74" s="243">
        <f>ROUND(F74*E74,2)</f>
        <v/>
      </c>
      <c r="H74" s="244">
        <f>G74/$G$151</f>
        <v/>
      </c>
      <c r="I74" s="189" t="n"/>
      <c r="J74" s="189" t="n"/>
      <c r="K74" s="99" t="n"/>
      <c r="L74" s="99" t="n"/>
    </row>
    <row r="75" collapsed="1" ht="25.5" customFormat="1" customHeight="1" s="175">
      <c r="A75" s="263" t="n">
        <v>39</v>
      </c>
      <c r="B75" s="239" t="inlineStr">
        <is>
          <t>22.2.01.03-0001</t>
        </is>
      </c>
      <c r="C75" s="240" t="inlineStr">
        <is>
          <t>Изолятор подвесной стеклянный ПСВ-120Б</t>
        </is>
      </c>
      <c r="D75" s="264" t="inlineStr">
        <is>
          <t>шт</t>
        </is>
      </c>
      <c r="E75" s="116" t="n">
        <v>154104</v>
      </c>
      <c r="F75" s="242" t="n">
        <v>202.55</v>
      </c>
      <c r="G75" s="189">
        <f>ROUND(F75*E75,2)</f>
        <v/>
      </c>
      <c r="H75" s="190">
        <f>G75/$G$151</f>
        <v/>
      </c>
      <c r="I75" s="189">
        <f>ROUND(F75*Прил.10!$D$12,2)</f>
        <v/>
      </c>
      <c r="J75" s="189">
        <f>ROUND(I75*E75,2)</f>
        <v/>
      </c>
      <c r="K75" s="99" t="n"/>
      <c r="L75" s="99" t="n"/>
    </row>
    <row r="76" ht="14.25" customFormat="1" customHeight="1" s="175">
      <c r="A76" s="263" t="n">
        <v>40</v>
      </c>
      <c r="B76" s="239" t="inlineStr">
        <is>
          <t>20.1.01.12-0024</t>
        </is>
      </c>
      <c r="C76" s="240" t="inlineStr">
        <is>
          <t>Зажим поддерживающий глухой ПГН-8-6</t>
        </is>
      </c>
      <c r="D76" s="264" t="inlineStr">
        <is>
          <t>шт</t>
        </is>
      </c>
      <c r="E76" s="116" t="n">
        <v>14468</v>
      </c>
      <c r="F76" s="242" t="n">
        <v>542.0599999999999</v>
      </c>
      <c r="G76" s="189">
        <f>ROUND(F76*E76,2)</f>
        <v/>
      </c>
      <c r="H76" s="190">
        <f>G76/$G$151</f>
        <v/>
      </c>
      <c r="I76" s="189">
        <f>ROUND(F76*Прил.10!$D$12,2)</f>
        <v/>
      </c>
      <c r="J76" s="189">
        <f>ROUND(I76*E76,2)</f>
        <v/>
      </c>
      <c r="K76" s="99" t="n"/>
      <c r="L76" s="99" t="n"/>
    </row>
    <row r="77" hidden="1" outlineLevel="1" ht="14.25" customFormat="1" customHeight="1" s="175">
      <c r="A77" s="236" t="n"/>
      <c r="B77" s="180" t="inlineStr">
        <is>
          <t>20.1.01.12-0024</t>
        </is>
      </c>
      <c r="C77" s="181" t="inlineStr">
        <is>
          <t>Зажим поддерживающий глухой ПГН-8-6</t>
        </is>
      </c>
      <c r="D77" s="182" t="inlineStr">
        <is>
          <t>шт</t>
        </is>
      </c>
      <c r="E77" s="191">
        <f>6782.52*2</f>
        <v/>
      </c>
      <c r="F77" s="183" t="n">
        <v>542.0599999999999</v>
      </c>
      <c r="G77" s="243">
        <f>ROUND(F77*E77,2)</f>
        <v/>
      </c>
      <c r="H77" s="244">
        <f>G77/$G$151</f>
        <v/>
      </c>
      <c r="I77" s="243" t="n"/>
      <c r="J77" s="243" t="n"/>
      <c r="K77" s="99" t="n"/>
    </row>
    <row r="78" hidden="1" outlineLevel="1" ht="25.5" customFormat="1" customHeight="1" s="175">
      <c r="A78" s="236" t="n"/>
      <c r="B78" s="180" t="inlineStr">
        <is>
          <t>20.1.01.15-0002</t>
        </is>
      </c>
      <c r="C78" s="181" t="inlineStr">
        <is>
          <t>Зажим 2-х клиновой стальной диаметром 20-22,5 мм</t>
        </is>
      </c>
      <c r="D78" s="182" t="inlineStr">
        <is>
          <t>шт</t>
        </is>
      </c>
      <c r="E78" s="191" t="n">
        <v>1010.94</v>
      </c>
      <c r="F78" s="183" t="n">
        <v>3112.46</v>
      </c>
      <c r="G78" s="243">
        <f>ROUND(F78*E78,2)</f>
        <v/>
      </c>
      <c r="H78" s="244">
        <f>G78/$G$151</f>
        <v/>
      </c>
      <c r="I78" s="243" t="n"/>
      <c r="J78" s="243" t="n"/>
      <c r="K78" s="99" t="n"/>
    </row>
    <row r="79" collapsed="1" ht="25.5" customFormat="1" customHeight="1" s="175">
      <c r="A79" s="263" t="n">
        <v>41</v>
      </c>
      <c r="B79" s="239" t="inlineStr">
        <is>
          <t>04.3.02.13-0003</t>
        </is>
      </c>
      <c r="C79" s="240" t="inlineStr">
        <is>
          <t>Смеси цементно-песчаные для устройства высокопрочных полов, М400</t>
        </is>
      </c>
      <c r="D79" s="264" t="inlineStr">
        <is>
          <t>т</t>
        </is>
      </c>
      <c r="E79" s="116" t="n">
        <v>21038.212</v>
      </c>
      <c r="F79" s="242" t="n">
        <v>155.89</v>
      </c>
      <c r="G79" s="189">
        <f>ROUND(F79*E79,2)</f>
        <v/>
      </c>
      <c r="H79" s="190">
        <f>G79/$G$151</f>
        <v/>
      </c>
      <c r="I79" s="189">
        <f>ROUND(F79*Прил.10!$D$12,2)</f>
        <v/>
      </c>
      <c r="J79" s="189">
        <f>ROUND(I79*E79,2)</f>
        <v/>
      </c>
      <c r="K79" s="99" t="n"/>
      <c r="L79" s="99" t="n"/>
    </row>
    <row r="80" ht="14.25" customFormat="1" customHeight="1" s="175">
      <c r="A80" s="263" t="n">
        <v>42</v>
      </c>
      <c r="B80" s="239" t="inlineStr">
        <is>
          <t>01.4.01.09-0005</t>
        </is>
      </c>
      <c r="C80" s="240" t="inlineStr">
        <is>
          <t>Расширитель шарошечный 870С</t>
        </is>
      </c>
      <c r="D80" s="264" t="inlineStr">
        <is>
          <t>шт</t>
        </is>
      </c>
      <c r="E80" s="116" t="n">
        <v>48</v>
      </c>
      <c r="F80" s="242" t="n">
        <v>74060.16</v>
      </c>
      <c r="G80" s="189">
        <f>G81+G82+G83</f>
        <v/>
      </c>
      <c r="H80" s="190">
        <f>G80/$G$151</f>
        <v/>
      </c>
      <c r="I80" s="189">
        <f>ROUND(F80*Прил.10!$D$12,2)</f>
        <v/>
      </c>
      <c r="J80" s="189">
        <f>ROUND(I80*E80,2)</f>
        <v/>
      </c>
      <c r="K80" s="99" t="n"/>
      <c r="L80" s="99" t="n"/>
    </row>
    <row r="81" hidden="1" outlineLevel="1" ht="14.25" customFormat="1" customHeight="1" s="175">
      <c r="A81" s="236" t="n"/>
      <c r="B81" s="180" t="inlineStr">
        <is>
          <t>01.4.01.09-0005</t>
        </is>
      </c>
      <c r="C81" s="181" t="inlineStr">
        <is>
          <t>Расширитель шарошечный 870С</t>
        </is>
      </c>
      <c r="D81" s="182" t="inlineStr">
        <is>
          <t>шт</t>
        </is>
      </c>
      <c r="E81" s="191" t="n">
        <v>12.5865</v>
      </c>
      <c r="F81" s="183" t="n">
        <v>74060.16</v>
      </c>
      <c r="G81" s="243">
        <f>ROUND(F81*E81,2)</f>
        <v/>
      </c>
      <c r="H81" s="244">
        <f>G81/$G$151</f>
        <v/>
      </c>
      <c r="I81" s="243" t="n"/>
      <c r="J81" s="243" t="n"/>
    </row>
    <row r="82" hidden="1" outlineLevel="1" ht="14.25" customFormat="1" customHeight="1" s="175">
      <c r="A82" s="236" t="n"/>
      <c r="B82" s="180" t="inlineStr">
        <is>
          <t>01.4.01.09-0006</t>
        </is>
      </c>
      <c r="C82" s="181" t="inlineStr">
        <is>
          <t>Расширитель шарошечный 960С</t>
        </is>
      </c>
      <c r="D82" s="182" t="inlineStr">
        <is>
          <t>шт</t>
        </is>
      </c>
      <c r="E82" s="191" t="n">
        <v>5.4981</v>
      </c>
      <c r="F82" s="183" t="n">
        <v>104993.98</v>
      </c>
      <c r="G82" s="243">
        <f>ROUND(F82*E82,2)</f>
        <v/>
      </c>
      <c r="H82" s="244">
        <f>G82/$G$151</f>
        <v/>
      </c>
      <c r="I82" s="243" t="n"/>
      <c r="J82" s="243" t="n"/>
    </row>
    <row r="83" hidden="1" outlineLevel="1" ht="14.25" customFormat="1" customHeight="1" s="175">
      <c r="A83" s="236" t="n"/>
      <c r="B83" s="168" t="inlineStr">
        <is>
          <t>01.4.01.09-0007</t>
        </is>
      </c>
      <c r="C83" s="235" t="inlineStr">
        <is>
          <t>Расширитель шарошечный 1160М</t>
        </is>
      </c>
      <c r="D83" s="236" t="inlineStr">
        <is>
          <t>шт</t>
        </is>
      </c>
      <c r="E83" s="191" t="n">
        <v>2.5101</v>
      </c>
      <c r="F83" s="237" t="n">
        <v>106863.3</v>
      </c>
      <c r="G83" s="243">
        <f>ROUND(F83*E83,2)</f>
        <v/>
      </c>
      <c r="H83" s="244">
        <f>G83/$G$151</f>
        <v/>
      </c>
      <c r="I83" s="243" t="n"/>
      <c r="J83" s="243" t="n"/>
    </row>
    <row r="84" collapsed="1" ht="14.25" customFormat="1" customHeight="1" s="99">
      <c r="A84" s="192" t="n"/>
      <c r="B84" s="263" t="n"/>
      <c r="C84" s="268" t="inlineStr">
        <is>
          <t>Итого основные материалы</t>
        </is>
      </c>
      <c r="D84" s="263" t="n"/>
      <c r="E84" s="116" t="n"/>
      <c r="F84" s="270" t="n"/>
      <c r="G84" s="117">
        <f>G71+G75+G76+G79+G80</f>
        <v/>
      </c>
      <c r="H84" s="278">
        <f>G84/$G$151</f>
        <v/>
      </c>
      <c r="I84" s="117" t="n"/>
      <c r="J84" s="117">
        <f>SUM(J71:J83)</f>
        <v/>
      </c>
      <c r="K84" s="67" t="n"/>
    </row>
    <row r="85" hidden="1" outlineLevel="1" ht="25.5" customFormat="1" customHeight="1" s="99">
      <c r="A85" s="265" t="n">
        <v>43</v>
      </c>
      <c r="B85" s="184" t="inlineStr">
        <is>
          <t>22.2.02.03-0001</t>
        </is>
      </c>
      <c r="C85" s="185" t="inlineStr">
        <is>
          <t>Детали закладные фундаментов одноствольных мачт и фидерных опор</t>
        </is>
      </c>
      <c r="D85" s="265" t="inlineStr">
        <is>
          <t>т</t>
        </is>
      </c>
      <c r="E85" s="187" t="n">
        <v>106.158</v>
      </c>
      <c r="F85" s="188" t="n">
        <v>14791.7</v>
      </c>
      <c r="G85" s="189">
        <f>ROUND(F85*E85,2)</f>
        <v/>
      </c>
      <c r="H85" s="190">
        <f>G85/$G$151</f>
        <v/>
      </c>
      <c r="I85" s="189">
        <f>ROUND(F85*Прил.10!$D$12,2)</f>
        <v/>
      </c>
      <c r="J85" s="189">
        <f>ROUND(I85*E85,2)</f>
        <v/>
      </c>
    </row>
    <row r="86" hidden="1" outlineLevel="1" ht="38.25" customFormat="1" customHeight="1" s="99">
      <c r="A86" s="265" t="n">
        <v>44</v>
      </c>
      <c r="B86" s="184" t="inlineStr">
        <is>
          <t>04.1.02.05-0046</t>
        </is>
      </c>
      <c r="C86" s="185" t="inlineStr">
        <is>
          <t>Смеси бетонные тяжелого бетона (БСТ), крупность заполнителя 20 мм, класс В25 (М350)</t>
        </is>
      </c>
      <c r="D86" s="265" t="inlineStr">
        <is>
          <t>м3</t>
        </is>
      </c>
      <c r="E86" s="187" t="n">
        <v>1298.19375</v>
      </c>
      <c r="F86" s="188" t="n">
        <v>720</v>
      </c>
      <c r="G86" s="189">
        <f>ROUND(F86*E86,2)</f>
        <v/>
      </c>
      <c r="H86" s="190">
        <f>G86/$G$151</f>
        <v/>
      </c>
      <c r="I86" s="189">
        <f>ROUND(F86*Прил.10!$D$12,2)</f>
        <v/>
      </c>
      <c r="J86" s="189">
        <f>ROUND(I86*E86,2)</f>
        <v/>
      </c>
    </row>
    <row r="87" hidden="1" outlineLevel="1" ht="14.25" customFormat="1" customHeight="1" s="99">
      <c r="A87" s="265" t="n">
        <v>45</v>
      </c>
      <c r="B87" s="110" t="inlineStr">
        <is>
          <t>22.2.02.01-0029</t>
        </is>
      </c>
      <c r="C87" s="268" t="inlineStr">
        <is>
          <t>Гаситель вибрации ГВУ-3,2-4</t>
        </is>
      </c>
      <c r="D87" s="263" t="inlineStr">
        <is>
          <t>шт</t>
        </is>
      </c>
      <c r="E87" s="116" t="n">
        <v>4140</v>
      </c>
      <c r="F87" s="282" t="n">
        <v>180.08</v>
      </c>
      <c r="G87" s="117">
        <f>ROUND(F87*E87,2)</f>
        <v/>
      </c>
      <c r="H87" s="278">
        <f>G87/$G$151</f>
        <v/>
      </c>
      <c r="I87" s="117">
        <f>ROUND(F87*Прил.10!$D$12,2)</f>
        <v/>
      </c>
      <c r="J87" s="117">
        <f>ROUND(I87*E87,2)</f>
        <v/>
      </c>
    </row>
    <row r="88" hidden="1" outlineLevel="1" ht="38.25" customFormat="1" customHeight="1" s="99">
      <c r="A88" s="265" t="n">
        <v>46</v>
      </c>
      <c r="B88" s="110" t="inlineStr">
        <is>
          <t>05.1.01.09-0031</t>
        </is>
      </c>
      <c r="C88" s="268" t="inlineStr">
        <is>
          <t>Кольца железобетонные для смотровых колодцев водопроводных и канализационных сетей</t>
        </is>
      </c>
      <c r="D88" s="263" t="inlineStr">
        <is>
          <t>м3</t>
        </is>
      </c>
      <c r="E88" s="116" t="n">
        <v>244.944</v>
      </c>
      <c r="F88" s="282" t="n">
        <v>1841.02</v>
      </c>
      <c r="G88" s="117">
        <f>ROUND(F88*E88,2)</f>
        <v/>
      </c>
      <c r="H88" s="278">
        <f>G88/$G$151</f>
        <v/>
      </c>
      <c r="I88" s="117">
        <f>ROUND(F88*Прил.10!$D$12,2)</f>
        <v/>
      </c>
      <c r="J88" s="117">
        <f>ROUND(I88*E88,2)</f>
        <v/>
      </c>
    </row>
    <row r="89" hidden="1" outlineLevel="1" ht="14.25" customFormat="1" customHeight="1" s="99">
      <c r="A89" s="265" t="n">
        <v>47</v>
      </c>
      <c r="B89" s="110" t="inlineStr">
        <is>
          <t>20.1.02.21-0037</t>
        </is>
      </c>
      <c r="C89" s="268" t="inlineStr">
        <is>
          <t>Узел крепления КГН-16-5</t>
        </is>
      </c>
      <c r="D89" s="263" t="inlineStr">
        <is>
          <t>шт</t>
        </is>
      </c>
      <c r="E89" s="116" t="n">
        <v>1163</v>
      </c>
      <c r="F89" s="282" t="n">
        <v>326.1</v>
      </c>
      <c r="G89" s="117">
        <f>ROUND(F89*E89,2)</f>
        <v/>
      </c>
      <c r="H89" s="278">
        <f>G89/$G$151</f>
        <v/>
      </c>
      <c r="I89" s="117">
        <f>ROUND(F89*Прил.10!$D$12,2)</f>
        <v/>
      </c>
      <c r="J89" s="117">
        <f>ROUND(I89*E89,2)</f>
        <v/>
      </c>
    </row>
    <row r="90" hidden="1" outlineLevel="1" ht="14.25" customFormat="1" customHeight="1" s="99">
      <c r="A90" s="265" t="n">
        <v>48</v>
      </c>
      <c r="B90" s="110" t="inlineStr">
        <is>
          <t>20.1.02.05-0012</t>
        </is>
      </c>
      <c r="C90" s="268" t="inlineStr">
        <is>
          <t>Коромысло: универсальное 2КУ-12-2</t>
        </is>
      </c>
      <c r="D90" s="263" t="inlineStr">
        <is>
          <t>шт</t>
        </is>
      </c>
      <c r="E90" s="116" t="n">
        <v>581</v>
      </c>
      <c r="F90" s="282" t="n">
        <v>508.52</v>
      </c>
      <c r="G90" s="117">
        <f>ROUND(F90*E90,2)</f>
        <v/>
      </c>
      <c r="H90" s="278">
        <f>G90/$G$151</f>
        <v/>
      </c>
      <c r="I90" s="117">
        <f>ROUND(F90*Прил.10!$D$12,2)</f>
        <v/>
      </c>
      <c r="J90" s="117">
        <f>ROUND(I90*E90,2)</f>
        <v/>
      </c>
    </row>
    <row r="91" hidden="1" outlineLevel="1" ht="25.5" customFormat="1" customHeight="1" s="99">
      <c r="A91" s="265" t="n">
        <v>49</v>
      </c>
      <c r="B91" s="110" t="inlineStr">
        <is>
          <t>22.2.02.04-0010</t>
        </is>
      </c>
      <c r="C91" s="268" t="inlineStr">
        <is>
          <t>Звено промежуточное монтажное ПТМ-12-3А</t>
        </is>
      </c>
      <c r="D91" s="263" t="inlineStr">
        <is>
          <t>шт</t>
        </is>
      </c>
      <c r="E91" s="116" t="n">
        <v>5061</v>
      </c>
      <c r="F91" s="282" t="n">
        <v>57.95</v>
      </c>
      <c r="G91" s="117">
        <f>ROUND(F91*E91,2)</f>
        <v/>
      </c>
      <c r="H91" s="278">
        <f>G91/$G$151</f>
        <v/>
      </c>
      <c r="I91" s="117">
        <f>ROUND(F91*Прил.10!$D$12,2)</f>
        <v/>
      </c>
      <c r="J91" s="117">
        <f>ROUND(I91*E91,2)</f>
        <v/>
      </c>
    </row>
    <row r="92" hidden="1" outlineLevel="1" ht="51" customFormat="1" customHeight="1" s="99">
      <c r="A92" s="265" t="n">
        <v>50</v>
      </c>
      <c r="B92" s="110" t="inlineStr">
        <is>
          <t>23.3.01.04-0035</t>
        </is>
      </c>
      <c r="C92" s="268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D92" s="263" t="inlineStr">
        <is>
          <t>м</t>
        </is>
      </c>
      <c r="E92" s="116" t="n">
        <v>656.844009</v>
      </c>
      <c r="F92" s="282" t="n">
        <v>427.31</v>
      </c>
      <c r="G92" s="117">
        <f>ROUND(F92*E92,2)</f>
        <v/>
      </c>
      <c r="H92" s="278">
        <f>G92/$G$151</f>
        <v/>
      </c>
      <c r="I92" s="117">
        <f>ROUND(F92*Прил.10!$D$12,2)</f>
        <v/>
      </c>
      <c r="J92" s="117">
        <f>ROUND(I92*E92,2)</f>
        <v/>
      </c>
    </row>
    <row r="93" hidden="1" outlineLevel="1" ht="14.25" customFormat="1" customHeight="1" s="99">
      <c r="A93" s="265" t="n">
        <v>51</v>
      </c>
      <c r="B93" s="110" t="inlineStr">
        <is>
          <t>01.7.15.10-0032</t>
        </is>
      </c>
      <c r="C93" s="268" t="inlineStr">
        <is>
          <t>Скобы СК-12-1А</t>
        </is>
      </c>
      <c r="D93" s="263" t="inlineStr">
        <is>
          <t>шт</t>
        </is>
      </c>
      <c r="E93" s="116" t="n">
        <v>5043</v>
      </c>
      <c r="F93" s="282" t="n">
        <v>54.7</v>
      </c>
      <c r="G93" s="117">
        <f>ROUND(F93*E93,2)</f>
        <v/>
      </c>
      <c r="H93" s="278">
        <f>G93/$G$151</f>
        <v/>
      </c>
      <c r="I93" s="117">
        <f>ROUND(F93*Прил.10!$D$12,2)</f>
        <v/>
      </c>
      <c r="J93" s="117">
        <f>ROUND(I93*E93,2)</f>
        <v/>
      </c>
    </row>
    <row r="94" hidden="1" outlineLevel="1" ht="14.25" customFormat="1" customHeight="1" s="99">
      <c r="A94" s="265" t="n">
        <v>52</v>
      </c>
      <c r="B94" s="110" t="inlineStr">
        <is>
          <t>22.2.02.04-0022</t>
        </is>
      </c>
      <c r="C94" s="268" t="inlineStr">
        <is>
          <t>Звено промежуточное прямое ПР-12-6</t>
        </is>
      </c>
      <c r="D94" s="263" t="inlineStr">
        <is>
          <t>шт</t>
        </is>
      </c>
      <c r="E94" s="116" t="n">
        <v>5061</v>
      </c>
      <c r="F94" s="282" t="n">
        <v>42.05</v>
      </c>
      <c r="G94" s="117">
        <f>ROUND(F94*E94,2)</f>
        <v/>
      </c>
      <c r="H94" s="278">
        <f>G94/$G$151</f>
        <v/>
      </c>
      <c r="I94" s="117">
        <f>ROUND(F94*Прил.10!$D$12,2)</f>
        <v/>
      </c>
      <c r="J94" s="117">
        <f>ROUND(I94*E94,2)</f>
        <v/>
      </c>
    </row>
    <row r="95" hidden="1" outlineLevel="1" ht="38.25" customFormat="1" customHeight="1" s="99">
      <c r="A95" s="265" t="n">
        <v>53</v>
      </c>
      <c r="B95" s="110" t="inlineStr">
        <is>
          <t>08.4.03.03-0036</t>
        </is>
      </c>
      <c r="C95" s="268" t="inlineStr">
        <is>
          <t>Сталь арматурная, горячекатаная, периодического профиля, класс А-III, диаметр 25-28 мм</t>
        </is>
      </c>
      <c r="D95" s="263" t="inlineStr">
        <is>
          <t>т</t>
        </is>
      </c>
      <c r="E95" s="116" t="n">
        <v>24.778</v>
      </c>
      <c r="F95" s="282" t="n">
        <v>7792.12</v>
      </c>
      <c r="G95" s="117">
        <f>ROUND(F95*E95,2)</f>
        <v/>
      </c>
      <c r="H95" s="278">
        <f>G95/$G$151</f>
        <v/>
      </c>
      <c r="I95" s="117">
        <f>ROUND(F95*Прил.10!$D$12,2)</f>
        <v/>
      </c>
      <c r="J95" s="117">
        <f>ROUND(I95*E95,2)</f>
        <v/>
      </c>
    </row>
    <row r="96" hidden="1" outlineLevel="1" ht="51" customFormat="1" customHeight="1" s="99">
      <c r="A96" s="265" t="n">
        <v>54</v>
      </c>
      <c r="B96" s="110" t="inlineStr">
        <is>
          <t>23.3.01.04-0074</t>
        </is>
      </c>
      <c r="C96" s="268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96" s="263" t="inlineStr">
        <is>
          <t>м</t>
        </is>
      </c>
      <c r="E96" s="116" t="n">
        <v>185.45625</v>
      </c>
      <c r="F96" s="282" t="n">
        <v>1001.33</v>
      </c>
      <c r="G96" s="117">
        <f>ROUND(F96*E96,2)</f>
        <v/>
      </c>
      <c r="H96" s="278">
        <f>G96/$G$151</f>
        <v/>
      </c>
      <c r="I96" s="117">
        <f>ROUND(F96*Прил.10!$D$12,2)</f>
        <v/>
      </c>
      <c r="J96" s="117">
        <f>ROUND(I96*E96,2)</f>
        <v/>
      </c>
    </row>
    <row r="97" hidden="1" outlineLevel="1" ht="25.5" customFormat="1" customHeight="1" s="99">
      <c r="A97" s="265" t="n">
        <v>55</v>
      </c>
      <c r="B97" s="110" t="inlineStr">
        <is>
          <t>Прайс из СД ОП</t>
        </is>
      </c>
      <c r="C97" s="268" t="inlineStr">
        <is>
          <t>Протектор шлейфовый спиральный ПЗС-Т-24,1-13 (500)</t>
        </is>
      </c>
      <c r="D97" s="263" t="inlineStr">
        <is>
          <t>шт</t>
        </is>
      </c>
      <c r="E97" s="116" t="n">
        <v>4140</v>
      </c>
      <c r="F97" s="282" t="n">
        <v>44.34</v>
      </c>
      <c r="G97" s="117">
        <f>ROUND(F97*E97,2)</f>
        <v/>
      </c>
      <c r="H97" s="278">
        <f>G97/$G$151</f>
        <v/>
      </c>
      <c r="I97" s="117">
        <f>ROUND(F97*Прил.10!$D$12,2)</f>
        <v/>
      </c>
      <c r="J97" s="117">
        <f>ROUND(I97*E97,2)</f>
        <v/>
      </c>
    </row>
    <row r="98" hidden="1" outlineLevel="1" ht="14.25" customFormat="1" customHeight="1" s="99">
      <c r="A98" s="265" t="n">
        <v>56</v>
      </c>
      <c r="B98" s="110" t="inlineStr">
        <is>
          <t>Прайс из СД ОП</t>
        </is>
      </c>
      <c r="C98" s="268" t="inlineStr">
        <is>
          <t>Ушко специальное укороченное УСК-12-16</t>
        </is>
      </c>
      <c r="D98" s="263" t="inlineStr">
        <is>
          <t>шт.</t>
        </is>
      </c>
      <c r="E98" s="116" t="n">
        <v>1163</v>
      </c>
      <c r="F98" s="282" t="n">
        <v>153.54</v>
      </c>
      <c r="G98" s="117">
        <f>ROUND(F98*E98,2)</f>
        <v/>
      </c>
      <c r="H98" s="278">
        <f>G98/$G$151</f>
        <v/>
      </c>
      <c r="I98" s="117">
        <f>ROUND(F98*Прил.10!$D$12,2)</f>
        <v/>
      </c>
      <c r="J98" s="117">
        <f>ROUND(I98*E98,2)</f>
        <v/>
      </c>
    </row>
    <row r="99" hidden="1" outlineLevel="1" ht="25.5" customFormat="1" customHeight="1" s="99">
      <c r="A99" s="265" t="n">
        <v>57</v>
      </c>
      <c r="B99" s="110" t="inlineStr">
        <is>
          <t>Прайс из СД ОП</t>
        </is>
      </c>
      <c r="C99" s="268" t="inlineStr">
        <is>
          <t>Звено промежуточное регулируемое ПРР-12-1А</t>
        </is>
      </c>
      <c r="D99" s="263" t="inlineStr">
        <is>
          <t>шт.</t>
        </is>
      </c>
      <c r="E99" s="116" t="n">
        <v>1181</v>
      </c>
      <c r="F99" s="282" t="n">
        <v>144.32</v>
      </c>
      <c r="G99" s="117">
        <f>ROUND(F99*E99,2)</f>
        <v/>
      </c>
      <c r="H99" s="278">
        <f>G99/$G$151</f>
        <v/>
      </c>
      <c r="I99" s="117">
        <f>ROUND(F99*Прил.10!$D$12,2)</f>
        <v/>
      </c>
      <c r="J99" s="117">
        <f>ROUND(I99*E99,2)</f>
        <v/>
      </c>
    </row>
    <row r="100" hidden="1" outlineLevel="1" ht="14.25" customFormat="1" customHeight="1" s="99">
      <c r="A100" s="265" t="n">
        <v>58</v>
      </c>
      <c r="B100" s="110" t="inlineStr">
        <is>
          <t>Прайс из СД ОП</t>
        </is>
      </c>
      <c r="C100" s="268" t="inlineStr">
        <is>
          <t>Узел крепления КГП-16-3</t>
        </is>
      </c>
      <c r="D100" s="263" t="inlineStr">
        <is>
          <t>шт.</t>
        </is>
      </c>
      <c r="E100" s="116" t="n">
        <v>3880</v>
      </c>
      <c r="F100" s="282" t="n">
        <v>38.6</v>
      </c>
      <c r="G100" s="117">
        <f>ROUND(F100*E100,2)</f>
        <v/>
      </c>
      <c r="H100" s="278">
        <f>G100/$G$151</f>
        <v/>
      </c>
      <c r="I100" s="117">
        <f>ROUND(F100*Прил.10!$D$12,2)</f>
        <v/>
      </c>
      <c r="J100" s="117">
        <f>ROUND(I100*E100,2)</f>
        <v/>
      </c>
    </row>
    <row r="101" hidden="1" outlineLevel="1" ht="25.5" customFormat="1" customHeight="1" s="99">
      <c r="A101" s="265" t="n">
        <v>59</v>
      </c>
      <c r="B101" s="110" t="inlineStr">
        <is>
          <t>08.4.03.02-0006</t>
        </is>
      </c>
      <c r="C101" s="268" t="inlineStr">
        <is>
          <t>Сталь арматурная, горячекатаная, гладкая, класс А-I, диаметр 16-18 мм</t>
        </is>
      </c>
      <c r="D101" s="263" t="inlineStr">
        <is>
          <t>т</t>
        </is>
      </c>
      <c r="E101" s="116" t="n">
        <v>23.8</v>
      </c>
      <c r="F101" s="282" t="n">
        <v>5650</v>
      </c>
      <c r="G101" s="117">
        <f>ROUND(F101*E101,2)</f>
        <v/>
      </c>
      <c r="H101" s="278">
        <f>G101/$G$151</f>
        <v/>
      </c>
      <c r="I101" s="117">
        <f>ROUND(F101*Прил.10!$D$12,2)</f>
        <v/>
      </c>
      <c r="J101" s="117">
        <f>ROUND(I101*E101,2)</f>
        <v/>
      </c>
    </row>
    <row r="102" hidden="1" outlineLevel="1" ht="14.25" customFormat="1" customHeight="1" s="99">
      <c r="A102" s="265" t="n">
        <v>60</v>
      </c>
      <c r="B102" s="110" t="inlineStr">
        <is>
          <t>Прайс из СД ОП</t>
        </is>
      </c>
      <c r="C102" s="268" t="inlineStr">
        <is>
          <t>Серьга СР-12-16</t>
        </is>
      </c>
      <c r="D102" s="263" t="inlineStr">
        <is>
          <t>шт.</t>
        </is>
      </c>
      <c r="E102" s="116" t="n">
        <v>5080</v>
      </c>
      <c r="F102" s="282" t="n">
        <v>25.35</v>
      </c>
      <c r="G102" s="117">
        <f>ROUND(F102*E102,2)</f>
        <v/>
      </c>
      <c r="H102" s="278">
        <f>G102/$G$151</f>
        <v/>
      </c>
      <c r="I102" s="117">
        <f>ROUND(F102*Прил.10!$D$12,2)</f>
        <v/>
      </c>
      <c r="J102" s="117">
        <f>ROUND(I102*E102,2)</f>
        <v/>
      </c>
    </row>
    <row r="103" hidden="1" outlineLevel="1" ht="38.25" customFormat="1" customHeight="1" s="99">
      <c r="A103" s="265" t="n">
        <v>61</v>
      </c>
      <c r="B103" s="110" t="inlineStr">
        <is>
          <t>08.4.03.03-0035</t>
        </is>
      </c>
      <c r="C103" s="268" t="inlineStr">
        <is>
          <t>Сталь арматурная, горячекатаная, периодического профиля, класс А-III, диаметр 20-22 мм</t>
        </is>
      </c>
      <c r="D103" s="263" t="inlineStr">
        <is>
          <t>т</t>
        </is>
      </c>
      <c r="E103" s="116" t="n">
        <v>13.256</v>
      </c>
      <c r="F103" s="282" t="n">
        <v>7917</v>
      </c>
      <c r="G103" s="117">
        <f>ROUND(F103*E103,2)</f>
        <v/>
      </c>
      <c r="H103" s="278">
        <f>G103/$G$151</f>
        <v/>
      </c>
      <c r="I103" s="117">
        <f>ROUND(F103*Прил.10!$D$12,2)</f>
        <v/>
      </c>
      <c r="J103" s="117">
        <f>ROUND(I103*E103,2)</f>
        <v/>
      </c>
    </row>
    <row r="104" hidden="1" outlineLevel="1" ht="14.25" customFormat="1" customHeight="1" s="99">
      <c r="A104" s="265" t="n">
        <v>62</v>
      </c>
      <c r="B104" s="110" t="inlineStr">
        <is>
          <t>Прайс из СД ОП</t>
        </is>
      </c>
      <c r="C104" s="268" t="inlineStr">
        <is>
          <t>Скоба СК-16-1А</t>
        </is>
      </c>
      <c r="D104" s="263" t="inlineStr">
        <is>
          <t>шт.</t>
        </is>
      </c>
      <c r="E104" s="116" t="n">
        <v>1163</v>
      </c>
      <c r="F104" s="282" t="n">
        <v>89.88</v>
      </c>
      <c r="G104" s="117">
        <f>ROUND(F104*E104,2)</f>
        <v/>
      </c>
      <c r="H104" s="278">
        <f>G104/$G$151</f>
        <v/>
      </c>
      <c r="I104" s="117">
        <f>ROUND(F104*Прил.10!$D$12,2)</f>
        <v/>
      </c>
      <c r="J104" s="117">
        <f>ROUND(I104*E104,2)</f>
        <v/>
      </c>
    </row>
    <row r="105" hidden="1" outlineLevel="1" ht="51" customFormat="1" customHeight="1" s="99">
      <c r="A105" s="265" t="n">
        <v>63</v>
      </c>
      <c r="B105" s="110" t="inlineStr">
        <is>
          <t>Прайс из СД ОП</t>
        </is>
      </c>
      <c r="C105" s="268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D105" s="263" t="inlineStr">
        <is>
          <t>шт</t>
        </is>
      </c>
      <c r="E105" s="116" t="n">
        <v>137</v>
      </c>
      <c r="F105" s="282" t="n">
        <v>648.16</v>
      </c>
      <c r="G105" s="117">
        <f>ROUND(F105*E105,2)</f>
        <v/>
      </c>
      <c r="H105" s="278">
        <f>G105/$G$151</f>
        <v/>
      </c>
      <c r="I105" s="117">
        <f>ROUND(F105*Прил.10!$D$12,2)</f>
        <v/>
      </c>
      <c r="J105" s="117">
        <f>ROUND(I105*E105,2)</f>
        <v/>
      </c>
    </row>
    <row r="106" hidden="1" outlineLevel="1" ht="14.25" customFormat="1" customHeight="1" s="99">
      <c r="A106" s="265" t="n">
        <v>64</v>
      </c>
      <c r="B106" s="110" t="inlineStr">
        <is>
          <t>Прайс из СД ОП</t>
        </is>
      </c>
      <c r="C106" s="268" t="inlineStr">
        <is>
          <t>Скоба СК-21-1А</t>
        </is>
      </c>
      <c r="D106" s="263" t="inlineStr">
        <is>
          <t>шт.</t>
        </is>
      </c>
      <c r="E106" s="116" t="n">
        <v>581</v>
      </c>
      <c r="F106" s="282" t="n">
        <v>152.67</v>
      </c>
      <c r="G106" s="117">
        <f>ROUND(F106*E106,2)</f>
        <v/>
      </c>
      <c r="H106" s="278">
        <f>G106/$G$151</f>
        <v/>
      </c>
      <c r="I106" s="117">
        <f>ROUND(F106*Прил.10!$D$12,2)</f>
        <v/>
      </c>
      <c r="J106" s="117">
        <f>ROUND(I106*E106,2)</f>
        <v/>
      </c>
    </row>
    <row r="107" hidden="1" outlineLevel="1" ht="25.5" customFormat="1" customHeight="1" s="99">
      <c r="A107" s="265" t="n">
        <v>65</v>
      </c>
      <c r="B107" s="110" t="inlineStr">
        <is>
          <t>Прайс из СД ОП</t>
        </is>
      </c>
      <c r="C107" s="268" t="inlineStr">
        <is>
          <t>Протектор защитный спиральный ПШС-Т-24,1/03(01)</t>
        </is>
      </c>
      <c r="D107" s="263" t="inlineStr">
        <is>
          <t>шт</t>
        </is>
      </c>
      <c r="E107" s="116" t="n">
        <v>288</v>
      </c>
      <c r="F107" s="282" t="n">
        <v>266.72</v>
      </c>
      <c r="G107" s="117">
        <f>ROUND(F107*E107,2)</f>
        <v/>
      </c>
      <c r="H107" s="278">
        <f>G107/$G$151</f>
        <v/>
      </c>
      <c r="I107" s="117">
        <f>ROUND(F107*Прил.10!$D$12,2)</f>
        <v/>
      </c>
      <c r="J107" s="117">
        <f>ROUND(I107*E107,2)</f>
        <v/>
      </c>
    </row>
    <row r="108" hidden="1" outlineLevel="1" ht="14.25" customFormat="1" customHeight="1" s="99">
      <c r="A108" s="265" t="n">
        <v>66</v>
      </c>
      <c r="B108" s="110" t="inlineStr">
        <is>
          <t>Прайс из СД ОП</t>
        </is>
      </c>
      <c r="C108" s="268" t="inlineStr">
        <is>
          <t>Патроны термитные ПАС-300</t>
        </is>
      </c>
      <c r="D108" s="263" t="inlineStr">
        <is>
          <t>шт.</t>
        </is>
      </c>
      <c r="E108" s="116" t="n">
        <v>288</v>
      </c>
      <c r="F108" s="282" t="n">
        <v>197.69</v>
      </c>
      <c r="G108" s="117">
        <f>ROUND(F108*E108,2)</f>
        <v/>
      </c>
      <c r="H108" s="278">
        <f>G108/$G$151</f>
        <v/>
      </c>
      <c r="I108" s="117">
        <f>ROUND(F108*Прил.10!$D$12,2)</f>
        <v/>
      </c>
      <c r="J108" s="117">
        <f>ROUND(I108*E108,2)</f>
        <v/>
      </c>
    </row>
    <row r="109" hidden="1" outlineLevel="1" ht="25.5" customFormat="1" customHeight="1" s="99">
      <c r="A109" s="265" t="n">
        <v>67</v>
      </c>
      <c r="B109" s="110" t="inlineStr">
        <is>
          <t>Прайс из СД ОП</t>
        </is>
      </c>
      <c r="C109" s="268" t="inlineStr">
        <is>
          <t>Звено промежуточное вывернутое ПРВ-16-1</t>
        </is>
      </c>
      <c r="D109" s="263" t="inlineStr">
        <is>
          <t>шт.</t>
        </is>
      </c>
      <c r="E109" s="116" t="n">
        <v>581</v>
      </c>
      <c r="F109" s="282" t="n">
        <v>97.93000000000001</v>
      </c>
      <c r="G109" s="117">
        <f>ROUND(F109*E109,2)</f>
        <v/>
      </c>
      <c r="H109" s="278">
        <f>G109/$G$151</f>
        <v/>
      </c>
      <c r="I109" s="117">
        <f>ROUND(F109*Прил.10!$D$12,2)</f>
        <v/>
      </c>
      <c r="J109" s="117">
        <f>ROUND(I109*E109,2)</f>
        <v/>
      </c>
    </row>
    <row r="110" hidden="1" outlineLevel="1" ht="25.5" customFormat="1" customHeight="1" s="99">
      <c r="A110" s="265" t="n">
        <v>68</v>
      </c>
      <c r="B110" s="110" t="inlineStr">
        <is>
          <t>05.1.03.13-0183</t>
        </is>
      </c>
      <c r="C110" s="268" t="inlineStr">
        <is>
          <t>Ригели сборные железобетонные ВЛ и ОРУ</t>
        </is>
      </c>
      <c r="D110" s="263" t="inlineStr">
        <is>
          <t>м3</t>
        </is>
      </c>
      <c r="E110" s="116" t="n">
        <v>28.28</v>
      </c>
      <c r="F110" s="282" t="n">
        <v>1733.42</v>
      </c>
      <c r="G110" s="117">
        <f>ROUND(F110*E110,2)</f>
        <v/>
      </c>
      <c r="H110" s="278">
        <f>G110/$G$151</f>
        <v/>
      </c>
      <c r="I110" s="117">
        <f>ROUND(F110*Прил.10!$D$12,2)</f>
        <v/>
      </c>
      <c r="J110" s="117">
        <f>ROUND(I110*E110,2)</f>
        <v/>
      </c>
    </row>
    <row r="111" hidden="1" outlineLevel="1" ht="25.5" customFormat="1" customHeight="1" s="99">
      <c r="A111" s="265" t="n">
        <v>69</v>
      </c>
      <c r="B111" s="110" t="inlineStr">
        <is>
          <t>10.1.02.03-0001</t>
        </is>
      </c>
      <c r="C111" s="268" t="inlineStr">
        <is>
          <t>Проволока алюминиевая, марка АМЦ, диаметр 1,4-1,8 мм</t>
        </is>
      </c>
      <c r="D111" s="263" t="inlineStr">
        <is>
          <t>т</t>
        </is>
      </c>
      <c r="E111" s="116" t="n">
        <v>1.623836</v>
      </c>
      <c r="F111" s="282" t="n">
        <v>30092.71</v>
      </c>
      <c r="G111" s="117">
        <f>ROUND(F111*E111,2)</f>
        <v/>
      </c>
      <c r="H111" s="278">
        <f>G111/$G$151</f>
        <v/>
      </c>
      <c r="I111" s="117">
        <f>ROUND(F111*Прил.10!$D$12,2)</f>
        <v/>
      </c>
      <c r="J111" s="117">
        <f>ROUND(I111*E111,2)</f>
        <v/>
      </c>
    </row>
    <row r="112" hidden="1" outlineLevel="1" ht="25.5" customFormat="1" customHeight="1" s="99">
      <c r="A112" s="265" t="n">
        <v>70</v>
      </c>
      <c r="B112" s="110" t="inlineStr">
        <is>
          <t>01.7.15.03-0038</t>
        </is>
      </c>
      <c r="C112" s="268" t="inlineStr">
        <is>
          <t>Болты с гайками и шайбами оцинкованные, диаметр 36 мм</t>
        </is>
      </c>
      <c r="D112" s="263" t="inlineStr">
        <is>
          <t>кг</t>
        </is>
      </c>
      <c r="E112" s="116" t="n">
        <v>1918</v>
      </c>
      <c r="F112" s="282" t="n">
        <v>24.57</v>
      </c>
      <c r="G112" s="117">
        <f>ROUND(F112*E112,2)</f>
        <v/>
      </c>
      <c r="H112" s="278">
        <f>G112/$G$151</f>
        <v/>
      </c>
      <c r="I112" s="117">
        <f>ROUND(F112*Прил.10!$D$12,2)</f>
        <v/>
      </c>
      <c r="J112" s="117">
        <f>ROUND(I112*E112,2)</f>
        <v/>
      </c>
    </row>
    <row r="113" hidden="1" outlineLevel="1" ht="25.5" customFormat="1" customHeight="1" s="99">
      <c r="A113" s="265" t="n">
        <v>71</v>
      </c>
      <c r="B113" s="110" t="inlineStr">
        <is>
          <t>Прайс из СД ОП</t>
        </is>
      </c>
      <c r="C113" s="268" t="inlineStr">
        <is>
          <t>Звено промежуточное переходное ПРТ-21/16-2</t>
        </is>
      </c>
      <c r="D113" s="263" t="inlineStr">
        <is>
          <t>шт</t>
        </is>
      </c>
      <c r="E113" s="116" t="n">
        <v>581</v>
      </c>
      <c r="F113" s="282" t="n">
        <v>79.51000000000001</v>
      </c>
      <c r="G113" s="117">
        <f>ROUND(F113*E113,2)</f>
        <v/>
      </c>
      <c r="H113" s="278">
        <f>G113/$G$151</f>
        <v/>
      </c>
      <c r="I113" s="117">
        <f>ROUND(F113*Прил.10!$D$12,2)</f>
        <v/>
      </c>
      <c r="J113" s="117">
        <f>ROUND(I113*E113,2)</f>
        <v/>
      </c>
    </row>
    <row r="114" hidden="1" outlineLevel="1" ht="25.5" customFormat="1" customHeight="1" s="99">
      <c r="A114" s="265" t="n">
        <v>72</v>
      </c>
      <c r="B114" s="110" t="inlineStr">
        <is>
          <t>02.2.05.04-1772</t>
        </is>
      </c>
      <c r="C114" s="268" t="inlineStr">
        <is>
          <t>Щебень М 600, фракция 20-40 мм, группа 2</t>
        </is>
      </c>
      <c r="D114" s="263" t="inlineStr">
        <is>
          <t>м3</t>
        </is>
      </c>
      <c r="E114" s="116" t="n">
        <v>389.34</v>
      </c>
      <c r="F114" s="282" t="n">
        <v>114.13</v>
      </c>
      <c r="G114" s="117">
        <f>ROUND(F114*E114,2)</f>
        <v/>
      </c>
      <c r="H114" s="278">
        <f>G114/$G$151</f>
        <v/>
      </c>
      <c r="I114" s="117">
        <f>ROUND(F114*Прил.10!$D$12,2)</f>
        <v/>
      </c>
      <c r="J114" s="117">
        <f>ROUND(I114*E114,2)</f>
        <v/>
      </c>
    </row>
    <row r="115" hidden="1" outlineLevel="1" ht="14.25" customFormat="1" customHeight="1" s="99">
      <c r="A115" s="265" t="n">
        <v>73</v>
      </c>
      <c r="B115" s="110" t="inlineStr">
        <is>
          <t>08.3.07.01-0060</t>
        </is>
      </c>
      <c r="C115" s="268" t="inlineStr">
        <is>
          <t>Сталь полосовая: 100х10 мм, марка Ст3сп</t>
        </is>
      </c>
      <c r="D115" s="263" t="inlineStr">
        <is>
          <t>т</t>
        </is>
      </c>
      <c r="E115" s="116" t="n">
        <v>4.67</v>
      </c>
      <c r="F115" s="282" t="n">
        <v>7385.37</v>
      </c>
      <c r="G115" s="117">
        <f>ROUND(F115*E115,2)</f>
        <v/>
      </c>
      <c r="H115" s="278">
        <f>G115/$G$151</f>
        <v/>
      </c>
      <c r="I115" s="117">
        <f>ROUND(F115*Прил.10!$D$12,2)</f>
        <v/>
      </c>
      <c r="J115" s="117">
        <f>ROUND(I115*E115,2)</f>
        <v/>
      </c>
    </row>
    <row r="116" hidden="1" outlineLevel="1" ht="89.25" customFormat="1" customHeight="1" s="99">
      <c r="A116" s="265" t="n">
        <v>74</v>
      </c>
      <c r="B116" s="110" t="inlineStr">
        <is>
          <t>01.2.03.03-0103</t>
        </is>
      </c>
      <c r="C116" s="268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D116" s="263" t="inlineStr">
        <is>
          <t>кг</t>
        </is>
      </c>
      <c r="E116" s="116" t="n">
        <v>3237.35136</v>
      </c>
      <c r="F116" s="282" t="n">
        <v>9.15</v>
      </c>
      <c r="G116" s="117">
        <f>ROUND(F116*E116,2)</f>
        <v/>
      </c>
      <c r="H116" s="278">
        <f>G116/$G$151</f>
        <v/>
      </c>
      <c r="I116" s="117">
        <f>ROUND(F116*Прил.10!$D$12,2)</f>
        <v/>
      </c>
      <c r="J116" s="117">
        <f>ROUND(I116*E116,2)</f>
        <v/>
      </c>
    </row>
    <row r="117" hidden="1" outlineLevel="1" ht="25.5" customFormat="1" customHeight="1" s="99">
      <c r="A117" s="265" t="n">
        <v>75</v>
      </c>
      <c r="B117" s="110" t="inlineStr">
        <is>
          <t>08.4.03.02-0002</t>
        </is>
      </c>
      <c r="C117" s="268" t="inlineStr">
        <is>
          <t>Сталь арматурная, горячекатаная, гладкая, класс А-I, диаметр 8 мм</t>
        </is>
      </c>
      <c r="D117" s="263" t="inlineStr">
        <is>
          <t>т</t>
        </is>
      </c>
      <c r="E117" s="116" t="n">
        <v>4.264</v>
      </c>
      <c r="F117" s="282" t="n">
        <v>6780</v>
      </c>
      <c r="G117" s="117">
        <f>ROUND(F117*E117,2)</f>
        <v/>
      </c>
      <c r="H117" s="278">
        <f>G117/$G$151</f>
        <v/>
      </c>
      <c r="I117" s="117">
        <f>ROUND(F117*Прил.10!$D$12,2)</f>
        <v/>
      </c>
      <c r="J117" s="117">
        <f>ROUND(I117*E117,2)</f>
        <v/>
      </c>
    </row>
    <row r="118" hidden="1" outlineLevel="1" ht="38.25" customFormat="1" customHeight="1" s="99">
      <c r="A118" s="265" t="n">
        <v>76</v>
      </c>
      <c r="B118" s="110" t="inlineStr">
        <is>
          <t>11.1.02.01-0031</t>
        </is>
      </c>
      <c r="C118" s="268" t="inlineStr">
        <is>
          <t>Лесоматериалы лиственных пород для строительства, круглые, длина 3-6,5 м, диаметр 12-24 см</t>
        </is>
      </c>
      <c r="D118" s="263" t="inlineStr">
        <is>
          <t>м3</t>
        </is>
      </c>
      <c r="E118" s="116" t="n">
        <v>67.923</v>
      </c>
      <c r="F118" s="282" t="n">
        <v>401.17</v>
      </c>
      <c r="G118" s="117">
        <f>ROUND(F118*E118,2)</f>
        <v/>
      </c>
      <c r="H118" s="278">
        <f>G118/$G$151</f>
        <v/>
      </c>
      <c r="I118" s="117">
        <f>ROUND(F118*Прил.10!$D$12,2)</f>
        <v/>
      </c>
      <c r="J118" s="117">
        <f>ROUND(I118*E118,2)</f>
        <v/>
      </c>
    </row>
    <row r="119" hidden="1" outlineLevel="1" ht="14.25" customFormat="1" customHeight="1" s="99">
      <c r="A119" s="265" t="n">
        <v>77</v>
      </c>
      <c r="B119" s="110" t="inlineStr">
        <is>
          <t>01.7.11.07-0032</t>
        </is>
      </c>
      <c r="C119" s="268" t="inlineStr">
        <is>
          <t>Электроды сварочные Э42, диаметр 4 мм</t>
        </is>
      </c>
      <c r="D119" s="263" t="inlineStr">
        <is>
          <t>т</t>
        </is>
      </c>
      <c r="E119" s="116" t="n">
        <v>1.394232</v>
      </c>
      <c r="F119" s="282" t="n">
        <v>10316.13</v>
      </c>
      <c r="G119" s="117">
        <f>ROUND(F119*E119,2)</f>
        <v/>
      </c>
      <c r="H119" s="278">
        <f>G119/$G$151</f>
        <v/>
      </c>
      <c r="I119" s="117">
        <f>ROUND(F119*Прил.10!$D$12,2)</f>
        <v/>
      </c>
      <c r="J119" s="117">
        <f>ROUND(I119*E119,2)</f>
        <v/>
      </c>
    </row>
    <row r="120" hidden="1" outlineLevel="1" ht="38.25" customFormat="1" customHeight="1" s="99">
      <c r="A120" s="265" t="n">
        <v>78</v>
      </c>
      <c r="B120" s="110" t="inlineStr">
        <is>
          <t>11.1.03.05-0086</t>
        </is>
      </c>
      <c r="C120" s="268" t="inlineStr">
        <is>
          <t>Доска необрезная, хвойных пород, длина 4-6,5 м, все ширины, толщина 44 мм и более, сорт IV</t>
        </is>
      </c>
      <c r="D120" s="263" t="inlineStr">
        <is>
          <t>м3</t>
        </is>
      </c>
      <c r="E120" s="116" t="n">
        <v>20.24</v>
      </c>
      <c r="F120" s="282" t="n">
        <v>550</v>
      </c>
      <c r="G120" s="117">
        <f>ROUND(F120*E120,2)</f>
        <v/>
      </c>
      <c r="H120" s="278">
        <f>G120/$G$151</f>
        <v/>
      </c>
      <c r="I120" s="117">
        <f>ROUND(F120*Прил.10!$D$12,2)</f>
        <v/>
      </c>
      <c r="J120" s="117">
        <f>ROUND(I120*E120,2)</f>
        <v/>
      </c>
    </row>
    <row r="121" hidden="1" outlineLevel="1" ht="14.25" customFormat="1" customHeight="1" s="99">
      <c r="A121" s="265" t="n">
        <v>79</v>
      </c>
      <c r="B121" s="110" t="inlineStr">
        <is>
          <t>01.7.15.03-0042</t>
        </is>
      </c>
      <c r="C121" s="268" t="inlineStr">
        <is>
          <t>Болты с гайками и шайбами строительные</t>
        </is>
      </c>
      <c r="D121" s="263" t="inlineStr">
        <is>
          <t>кг</t>
        </is>
      </c>
      <c r="E121" s="116" t="n">
        <v>869.409644</v>
      </c>
      <c r="F121" s="282" t="n">
        <v>9.85</v>
      </c>
      <c r="G121" s="117">
        <f>ROUND(F121*E121,2)</f>
        <v/>
      </c>
      <c r="H121" s="278">
        <f>G121/$G$151</f>
        <v/>
      </c>
      <c r="I121" s="117">
        <f>ROUND(F121*Прил.10!$D$12,2)</f>
        <v/>
      </c>
      <c r="J121" s="117">
        <f>ROUND(I121*E121,2)</f>
        <v/>
      </c>
    </row>
    <row r="122" hidden="1" outlineLevel="1" ht="38.25" customFormat="1" customHeight="1" s="99">
      <c r="A122" s="265" t="n">
        <v>80</v>
      </c>
      <c r="B122" s="110" t="inlineStr">
        <is>
          <t>11.1.03.06-0025</t>
        </is>
      </c>
      <c r="C122" s="268" t="inlineStr">
        <is>
          <t>Доска обрезная, лиственных пород (береза, липа), длина 4-6,5 м, все ширины, толщина 25, 32, 40 мм, сорт III</t>
        </is>
      </c>
      <c r="D122" s="263" t="inlineStr">
        <is>
          <t>м3</t>
        </is>
      </c>
      <c r="E122" s="116" t="n">
        <v>6.922117</v>
      </c>
      <c r="F122" s="282" t="n">
        <v>983.1900000000001</v>
      </c>
      <c r="G122" s="117">
        <f>ROUND(F122*E122,2)</f>
        <v/>
      </c>
      <c r="H122" s="278">
        <f>G122/$G$151</f>
        <v/>
      </c>
      <c r="I122" s="117">
        <f>ROUND(F122*Прил.10!$D$12,2)</f>
        <v/>
      </c>
      <c r="J122" s="117">
        <f>ROUND(I122*E122,2)</f>
        <v/>
      </c>
    </row>
    <row r="123" hidden="1" outlineLevel="1" ht="25.5" customFormat="1" customHeight="1" s="99">
      <c r="A123" s="265" t="n">
        <v>81</v>
      </c>
      <c r="B123" s="110" t="inlineStr">
        <is>
          <t>01.7.12.05-1018</t>
        </is>
      </c>
      <c r="C123" s="268" t="inlineStr">
        <is>
          <t>Геотекстиль нетканый, поверхностной плотностью 550 г/м2</t>
        </is>
      </c>
      <c r="D123" s="263" t="inlineStr">
        <is>
          <t>м2</t>
        </is>
      </c>
      <c r="E123" s="116" t="n">
        <v>708.4</v>
      </c>
      <c r="F123" s="282" t="n">
        <v>9.140000000000001</v>
      </c>
      <c r="G123" s="117">
        <f>ROUND(F123*E123,2)</f>
        <v/>
      </c>
      <c r="H123" s="278">
        <f>G123/$G$151</f>
        <v/>
      </c>
      <c r="I123" s="117">
        <f>ROUND(F123*Прил.10!$D$12,2)</f>
        <v/>
      </c>
      <c r="J123" s="117">
        <f>ROUND(I123*E123,2)</f>
        <v/>
      </c>
    </row>
    <row r="124" hidden="1" outlineLevel="1" ht="25.5" customFormat="1" customHeight="1" s="99">
      <c r="A124" s="265" t="n">
        <v>82</v>
      </c>
      <c r="B124" s="110" t="inlineStr">
        <is>
          <t>07.2.05.02-0112</t>
        </is>
      </c>
      <c r="C124" s="268" t="inlineStr">
        <is>
          <t>Элементы фасонные (доборные) из оцинкованной стали</t>
        </is>
      </c>
      <c r="D124" s="263" t="inlineStr">
        <is>
          <t>т</t>
        </is>
      </c>
      <c r="E124" s="116" t="n">
        <v>0.4433</v>
      </c>
      <c r="F124" s="282" t="n">
        <v>11864.99</v>
      </c>
      <c r="G124" s="117">
        <f>ROUND(F124*E124,2)</f>
        <v/>
      </c>
      <c r="H124" s="278">
        <f>G124/$G$151</f>
        <v/>
      </c>
      <c r="I124" s="117">
        <f>ROUND(F124*Прил.10!$D$12,2)</f>
        <v/>
      </c>
      <c r="J124" s="117">
        <f>ROUND(I124*E124,2)</f>
        <v/>
      </c>
    </row>
    <row r="125" hidden="1" outlineLevel="1" ht="14.25" customFormat="1" customHeight="1" s="99">
      <c r="A125" s="265" t="n">
        <v>83</v>
      </c>
      <c r="B125" s="110" t="inlineStr">
        <is>
          <t>08.3.03.04-0012</t>
        </is>
      </c>
      <c r="C125" s="268" t="inlineStr">
        <is>
          <t>Проволока светлая, диаметр 1,1 мм</t>
        </is>
      </c>
      <c r="D125" s="263" t="inlineStr">
        <is>
          <t>т</t>
        </is>
      </c>
      <c r="E125" s="116" t="n">
        <v>0.461204</v>
      </c>
      <c r="F125" s="282" t="n">
        <v>11248.28</v>
      </c>
      <c r="G125" s="117">
        <f>ROUND(F125*E125,2)</f>
        <v/>
      </c>
      <c r="H125" s="278">
        <f>G125/$G$151</f>
        <v/>
      </c>
      <c r="I125" s="117">
        <f>ROUND(F125*Прил.10!$D$12,2)</f>
        <v/>
      </c>
      <c r="J125" s="117">
        <f>ROUND(I125*E125,2)</f>
        <v/>
      </c>
    </row>
    <row r="126" hidden="1" outlineLevel="1" ht="14.25" customFormat="1" customHeight="1" s="99">
      <c r="A126" s="265" t="n">
        <v>84</v>
      </c>
      <c r="B126" s="110" t="inlineStr">
        <is>
          <t>14.5.09.11-0102</t>
        </is>
      </c>
      <c r="C126" s="268" t="inlineStr">
        <is>
          <t>Уайт-спирит</t>
        </is>
      </c>
      <c r="D126" s="263" t="inlineStr">
        <is>
          <t>кг</t>
        </is>
      </c>
      <c r="E126" s="116" t="n">
        <v>537.694</v>
      </c>
      <c r="F126" s="282" t="n">
        <v>6.68</v>
      </c>
      <c r="G126" s="117">
        <f>ROUND(F126*E126,2)</f>
        <v/>
      </c>
      <c r="H126" s="278">
        <f>G126/$G$151</f>
        <v/>
      </c>
      <c r="I126" s="117">
        <f>ROUND(F126*Прил.10!$D$12,2)</f>
        <v/>
      </c>
      <c r="J126" s="117">
        <f>ROUND(I126*E126,2)</f>
        <v/>
      </c>
    </row>
    <row r="127" hidden="1" outlineLevel="1" ht="14.25" customFormat="1" customHeight="1" s="99">
      <c r="A127" s="265" t="n">
        <v>85</v>
      </c>
      <c r="B127" s="110" t="inlineStr">
        <is>
          <t>01.7.03.01-0001</t>
        </is>
      </c>
      <c r="C127" s="268" t="inlineStr">
        <is>
          <t>Вода</t>
        </is>
      </c>
      <c r="D127" s="263" t="inlineStr">
        <is>
          <t>м3</t>
        </is>
      </c>
      <c r="E127" s="116" t="n">
        <v>1090.158937</v>
      </c>
      <c r="F127" s="282" t="n">
        <v>2.44</v>
      </c>
      <c r="G127" s="117">
        <f>ROUND(F127*E127,2)</f>
        <v/>
      </c>
      <c r="H127" s="278">
        <f>G127/$G$151</f>
        <v/>
      </c>
      <c r="I127" s="117">
        <f>ROUND(F127*Прил.10!$D$12,2)</f>
        <v/>
      </c>
      <c r="J127" s="117">
        <f>ROUND(I127*E127,2)</f>
        <v/>
      </c>
    </row>
    <row r="128" hidden="1" outlineLevel="1" ht="14.25" customFormat="1" customHeight="1" s="99">
      <c r="A128" s="265" t="n">
        <v>86</v>
      </c>
      <c r="B128" s="110" t="inlineStr">
        <is>
          <t>01.7.15.11-0048</t>
        </is>
      </c>
      <c r="C128" s="268" t="inlineStr">
        <is>
          <t>Шайбы оцинкованные, диаметр 16 мм</t>
        </is>
      </c>
      <c r="D128" s="263" t="inlineStr">
        <is>
          <t>кг</t>
        </is>
      </c>
      <c r="E128" s="116" t="n">
        <v>68.2</v>
      </c>
      <c r="F128" s="282" t="n">
        <v>31.17</v>
      </c>
      <c r="G128" s="117">
        <f>ROUND(F128*E128,2)</f>
        <v/>
      </c>
      <c r="H128" s="278">
        <f>G128/$G$151</f>
        <v/>
      </c>
      <c r="I128" s="117">
        <f>ROUND(F128*Прил.10!$D$12,2)</f>
        <v/>
      </c>
      <c r="J128" s="117">
        <f>ROUND(I128*E128,2)</f>
        <v/>
      </c>
    </row>
    <row r="129" hidden="1" outlineLevel="1" ht="14.25" customFormat="1" customHeight="1" s="99">
      <c r="A129" s="265" t="n">
        <v>87</v>
      </c>
      <c r="B129" s="110" t="inlineStr">
        <is>
          <t>Прайс из СД ОП</t>
        </is>
      </c>
      <c r="C129" s="268" t="inlineStr">
        <is>
          <t>Спички термитные</t>
        </is>
      </c>
      <c r="D129" s="263" t="inlineStr">
        <is>
          <t>шт.</t>
        </is>
      </c>
      <c r="E129" s="116" t="n">
        <v>575</v>
      </c>
      <c r="F129" s="282" t="n">
        <v>3.51</v>
      </c>
      <c r="G129" s="117">
        <f>ROUND(F129*E129,2)</f>
        <v/>
      </c>
      <c r="H129" s="278">
        <f>G129/$G$151</f>
        <v/>
      </c>
      <c r="I129" s="117">
        <f>ROUND(F129*Прил.10!$D$12,2)</f>
        <v/>
      </c>
      <c r="J129" s="117">
        <f>ROUND(I129*E129,2)</f>
        <v/>
      </c>
    </row>
    <row r="130" hidden="1" outlineLevel="1" ht="14.25" customFormat="1" customHeight="1" s="99">
      <c r="A130" s="265" t="n">
        <v>88</v>
      </c>
      <c r="B130" s="110" t="inlineStr">
        <is>
          <t>02.1.01.01-0001</t>
        </is>
      </c>
      <c r="C130" s="268" t="inlineStr">
        <is>
          <t>Глина</t>
        </is>
      </c>
      <c r="D130" s="263" t="inlineStr">
        <is>
          <t>м3</t>
        </is>
      </c>
      <c r="E130" s="116" t="n">
        <v>22.08</v>
      </c>
      <c r="F130" s="282" t="n">
        <v>87.8</v>
      </c>
      <c r="G130" s="117">
        <f>ROUND(F130*E130,2)</f>
        <v/>
      </c>
      <c r="H130" s="278">
        <f>G130/$G$151</f>
        <v/>
      </c>
      <c r="I130" s="117">
        <f>ROUND(F130*Прил.10!$D$12,2)</f>
        <v/>
      </c>
      <c r="J130" s="117">
        <f>ROUND(I130*E130,2)</f>
        <v/>
      </c>
    </row>
    <row r="131" hidden="1" outlineLevel="1" ht="38.25" customFormat="1" customHeight="1" s="99">
      <c r="A131" s="265" t="n">
        <v>89</v>
      </c>
      <c r="B131" s="110" t="inlineStr">
        <is>
          <t>11.1.02.04-0031</t>
        </is>
      </c>
      <c r="C131" s="268" t="inlineStr">
        <is>
          <t>Лесоматериалы круглые, хвойных пород, для строительства, диаметр 14-24 см, длина 3-6,5 м</t>
        </is>
      </c>
      <c r="D131" s="263" t="inlineStr">
        <is>
          <t>м3</t>
        </is>
      </c>
      <c r="E131" s="116" t="n">
        <v>3.461058</v>
      </c>
      <c r="F131" s="282" t="n">
        <v>558.33</v>
      </c>
      <c r="G131" s="117">
        <f>ROUND(F131*E131,2)</f>
        <v/>
      </c>
      <c r="H131" s="278">
        <f>G131/$G$151</f>
        <v/>
      </c>
      <c r="I131" s="117">
        <f>ROUND(F131*Прил.10!$D$12,2)</f>
        <v/>
      </c>
      <c r="J131" s="117">
        <f>ROUND(I131*E131,2)</f>
        <v/>
      </c>
    </row>
    <row r="132" hidden="1" outlineLevel="1" ht="14.25" customFormat="1" customHeight="1" s="99">
      <c r="A132" s="265" t="n">
        <v>90</v>
      </c>
      <c r="B132" s="110" t="inlineStr">
        <is>
          <t>Прайс из СД ОП</t>
        </is>
      </c>
      <c r="C132" s="268" t="inlineStr">
        <is>
          <t>Ушко двухлапчатое У2-12-16</t>
        </is>
      </c>
      <c r="D132" s="263" t="inlineStr">
        <is>
          <t>шт.</t>
        </is>
      </c>
      <c r="E132" s="116" t="n">
        <v>18</v>
      </c>
      <c r="F132" s="282" t="n">
        <v>102.27</v>
      </c>
      <c r="G132" s="117">
        <f>ROUND(F132*E132,2)</f>
        <v/>
      </c>
      <c r="H132" s="278">
        <f>G132/$G$151</f>
        <v/>
      </c>
      <c r="I132" s="117">
        <f>ROUND(F132*Прил.10!$D$12,2)</f>
        <v/>
      </c>
      <c r="J132" s="117">
        <f>ROUND(I132*E132,2)</f>
        <v/>
      </c>
    </row>
    <row r="133" hidden="1" outlineLevel="1" ht="76.5" customFormat="1" customHeight="1" s="99">
      <c r="A133" s="265" t="n">
        <v>91</v>
      </c>
      <c r="B133" s="110" t="inlineStr">
        <is>
          <t>07.2.07.12-0003</t>
        </is>
      </c>
      <c r="C133" s="26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33" s="263" t="inlineStr">
        <is>
          <t>т</t>
        </is>
      </c>
      <c r="E133" s="116" t="n">
        <v>0.145364</v>
      </c>
      <c r="F133" s="282" t="n">
        <v>11259.29</v>
      </c>
      <c r="G133" s="117">
        <f>ROUND(F133*E133,2)</f>
        <v/>
      </c>
      <c r="H133" s="278">
        <f>G133/$G$151</f>
        <v/>
      </c>
      <c r="I133" s="117">
        <f>ROUND(F133*Прил.10!$D$12,2)</f>
        <v/>
      </c>
      <c r="J133" s="117">
        <f>ROUND(I133*E133,2)</f>
        <v/>
      </c>
    </row>
    <row r="134" hidden="1" outlineLevel="1" ht="14.25" customFormat="1" customHeight="1" s="99">
      <c r="A134" s="265" t="n">
        <v>92</v>
      </c>
      <c r="B134" s="110" t="inlineStr">
        <is>
          <t>01.7.15.02-0065</t>
        </is>
      </c>
      <c r="C134" s="268" t="inlineStr">
        <is>
          <t>Болты оцинкованные диаметр 16 (18) мм</t>
        </is>
      </c>
      <c r="D134" s="263" t="inlineStr">
        <is>
          <t>т</t>
        </is>
      </c>
      <c r="E134" s="116" t="n">
        <v>0.08866</v>
      </c>
      <c r="F134" s="282" t="n">
        <v>15441.8</v>
      </c>
      <c r="G134" s="117">
        <f>ROUND(F134*E134,2)</f>
        <v/>
      </c>
      <c r="H134" s="278">
        <f>G134/$G$151</f>
        <v/>
      </c>
      <c r="I134" s="117">
        <f>ROUND(F134*Прил.10!$D$12,2)</f>
        <v/>
      </c>
      <c r="J134" s="117">
        <f>ROUND(I134*E134,2)</f>
        <v/>
      </c>
    </row>
    <row r="135" hidden="1" outlineLevel="1" ht="25.5" customFormat="1" customHeight="1" s="99">
      <c r="A135" s="265" t="n">
        <v>93</v>
      </c>
      <c r="B135" s="110" t="inlineStr">
        <is>
          <t>Прайс из СД ОП</t>
        </is>
      </c>
      <c r="C135" s="268" t="inlineStr">
        <is>
          <t>Звено промежуточное вывернутое ПРВ-12-1</t>
        </is>
      </c>
      <c r="D135" s="263" t="inlineStr">
        <is>
          <t>шт.</t>
        </is>
      </c>
      <c r="E135" s="116" t="n">
        <v>18</v>
      </c>
      <c r="F135" s="282" t="n">
        <v>48.97</v>
      </c>
      <c r="G135" s="117">
        <f>ROUND(F135*E135,2)</f>
        <v/>
      </c>
      <c r="H135" s="278">
        <f>G135/$G$151</f>
        <v/>
      </c>
      <c r="I135" s="117">
        <f>ROUND(F135*Прил.10!$D$12,2)</f>
        <v/>
      </c>
      <c r="J135" s="117">
        <f>ROUND(I135*E135,2)</f>
        <v/>
      </c>
    </row>
    <row r="136" hidden="1" outlineLevel="1" ht="14.25" customFormat="1" customHeight="1" s="99">
      <c r="A136" s="265" t="n">
        <v>94</v>
      </c>
      <c r="B136" s="110" t="inlineStr">
        <is>
          <t>Прайс из СД ОП</t>
        </is>
      </c>
      <c r="C136" s="268" t="inlineStr">
        <is>
          <t>2ПР-12-2</t>
        </is>
      </c>
      <c r="D136" s="263" t="inlineStr">
        <is>
          <t>шт</t>
        </is>
      </c>
      <c r="E136" s="116" t="n">
        <v>18</v>
      </c>
      <c r="F136" s="282" t="n">
        <v>38.6</v>
      </c>
      <c r="G136" s="117">
        <f>ROUND(F136*E136,2)</f>
        <v/>
      </c>
      <c r="H136" s="278">
        <f>G136/$G$151</f>
        <v/>
      </c>
      <c r="I136" s="117">
        <f>ROUND(F136*Прил.10!$D$12,2)</f>
        <v/>
      </c>
      <c r="J136" s="117">
        <f>ROUND(I136*E136,2)</f>
        <v/>
      </c>
    </row>
    <row r="137" hidden="1" outlineLevel="1" ht="14.25" customFormat="1" customHeight="1" s="99">
      <c r="A137" s="265" t="n">
        <v>95</v>
      </c>
      <c r="B137" s="110" t="inlineStr">
        <is>
          <t>Прайс из СД ОП</t>
        </is>
      </c>
      <c r="C137" s="268" t="inlineStr">
        <is>
          <t>Палец 22х70</t>
        </is>
      </c>
      <c r="D137" s="263" t="inlineStr">
        <is>
          <t>шт</t>
        </is>
      </c>
      <c r="E137" s="116" t="n">
        <v>18</v>
      </c>
      <c r="F137" s="282" t="n">
        <v>34.57</v>
      </c>
      <c r="G137" s="117">
        <f>ROUND(F137*E137,2)</f>
        <v/>
      </c>
      <c r="H137" s="278">
        <f>G137/$G$151</f>
        <v/>
      </c>
      <c r="I137" s="117">
        <f>ROUND(F137*Прил.10!$D$12,2)</f>
        <v/>
      </c>
      <c r="J137" s="117">
        <f>ROUND(I137*E137,2)</f>
        <v/>
      </c>
    </row>
    <row r="138" hidden="1" outlineLevel="1" ht="25.5" customFormat="1" customHeight="1" s="99">
      <c r="A138" s="265" t="n">
        <v>96</v>
      </c>
      <c r="B138" s="110" t="inlineStr">
        <is>
          <t>01.4.01.03-1042</t>
        </is>
      </c>
      <c r="C138" s="268" t="inlineStr">
        <is>
          <t>Долото шнековое двухлопастное, диаметр 95 мм</t>
        </is>
      </c>
      <c r="D138" s="263" t="inlineStr">
        <is>
          <t>шт</t>
        </is>
      </c>
      <c r="E138" s="116" t="n">
        <v>0.586464</v>
      </c>
      <c r="F138" s="282" t="n">
        <v>1056.11</v>
      </c>
      <c r="G138" s="117">
        <f>ROUND(F138*E138,2)</f>
        <v/>
      </c>
      <c r="H138" s="278">
        <f>G138/$G$151</f>
        <v/>
      </c>
      <c r="I138" s="117">
        <f>ROUND(F138*Прил.10!$D$12,2)</f>
        <v/>
      </c>
      <c r="J138" s="117">
        <f>ROUND(I138*E138,2)</f>
        <v/>
      </c>
    </row>
    <row r="139" hidden="1" outlineLevel="1" ht="14.25" customFormat="1" customHeight="1" s="99">
      <c r="A139" s="265" t="n">
        <v>97</v>
      </c>
      <c r="B139" s="110" t="inlineStr">
        <is>
          <t>11.1.03.06-0002</t>
        </is>
      </c>
      <c r="C139" s="268" t="inlineStr">
        <is>
          <t>Доска дубовая, сорт II</t>
        </is>
      </c>
      <c r="D139" s="263" t="inlineStr">
        <is>
          <t>м3</t>
        </is>
      </c>
      <c r="E139" s="116" t="n">
        <v>0.376871</v>
      </c>
      <c r="F139" s="282" t="n">
        <v>1414.28</v>
      </c>
      <c r="G139" s="117">
        <f>ROUND(F139*E139,2)</f>
        <v/>
      </c>
      <c r="H139" s="278">
        <f>G139/$G$151</f>
        <v/>
      </c>
      <c r="I139" s="117">
        <f>ROUND(F139*Прил.10!$D$12,2)</f>
        <v/>
      </c>
      <c r="J139" s="117">
        <f>ROUND(I139*E139,2)</f>
        <v/>
      </c>
    </row>
    <row r="140" hidden="1" outlineLevel="1" ht="14.25" customFormat="1" customHeight="1" s="99">
      <c r="A140" s="265" t="n">
        <v>98</v>
      </c>
      <c r="B140" s="110" t="inlineStr">
        <is>
          <t>01.7.15.06-0111</t>
        </is>
      </c>
      <c r="C140" s="268" t="inlineStr">
        <is>
          <t>Гвозди строительные</t>
        </is>
      </c>
      <c r="D140" s="263" t="inlineStr">
        <is>
          <t>т</t>
        </is>
      </c>
      <c r="E140" s="116" t="n">
        <v>0.043263</v>
      </c>
      <c r="F140" s="282" t="n">
        <v>11976.45</v>
      </c>
      <c r="G140" s="117">
        <f>ROUND(F140*E140,2)</f>
        <v/>
      </c>
      <c r="H140" s="278">
        <f>G140/$G$151</f>
        <v/>
      </c>
      <c r="I140" s="117">
        <f>ROUND(F140*Прил.10!$D$12,2)</f>
        <v/>
      </c>
      <c r="J140" s="117">
        <f>ROUND(I140*E140,2)</f>
        <v/>
      </c>
    </row>
    <row r="141" hidden="1" outlineLevel="1" ht="14.25" customFormat="1" customHeight="1" s="99">
      <c r="A141" s="265" t="n">
        <v>99</v>
      </c>
      <c r="B141" s="110" t="inlineStr">
        <is>
          <t>01.3.01.03-0002</t>
        </is>
      </c>
      <c r="C141" s="268" t="inlineStr">
        <is>
          <t>Керосин для технических целей</t>
        </is>
      </c>
      <c r="D141" s="263" t="inlineStr">
        <is>
          <t>т</t>
        </is>
      </c>
      <c r="E141" s="116" t="n">
        <v>0.180683</v>
      </c>
      <c r="F141" s="282" t="n">
        <v>2607.1</v>
      </c>
      <c r="G141" s="117">
        <f>ROUND(F141*E141,2)</f>
        <v/>
      </c>
      <c r="H141" s="278">
        <f>G141/$G$151</f>
        <v/>
      </c>
      <c r="I141" s="117">
        <f>ROUND(F141*Прил.10!$D$12,2)</f>
        <v/>
      </c>
      <c r="J141" s="117">
        <f>ROUND(I141*E141,2)</f>
        <v/>
      </c>
    </row>
    <row r="142" hidden="1" outlineLevel="1" ht="25.5" customFormat="1" customHeight="1" s="99">
      <c r="A142" s="265" t="n">
        <v>100</v>
      </c>
      <c r="B142" s="110" t="inlineStr">
        <is>
          <t>01.7.15.05-0025</t>
        </is>
      </c>
      <c r="C142" s="268" t="inlineStr">
        <is>
          <t>Гайки шестигранные оцинкованные, диаметр резьбы 16-18 мм</t>
        </is>
      </c>
      <c r="D142" s="263" t="inlineStr">
        <is>
          <t>кг</t>
        </is>
      </c>
      <c r="E142" s="116" t="n">
        <v>20.46</v>
      </c>
      <c r="F142" s="282" t="n">
        <v>21.46</v>
      </c>
      <c r="G142" s="117">
        <f>ROUND(F142*E142,2)</f>
        <v/>
      </c>
      <c r="H142" s="278">
        <f>G142/$G$151</f>
        <v/>
      </c>
      <c r="I142" s="117">
        <f>ROUND(F142*Прил.10!$D$12,2)</f>
        <v/>
      </c>
      <c r="J142" s="117">
        <f>ROUND(I142*E142,2)</f>
        <v/>
      </c>
    </row>
    <row r="143" hidden="1" outlineLevel="1" ht="25.5" customFormat="1" customHeight="1" s="99">
      <c r="A143" s="265" t="n">
        <v>101</v>
      </c>
      <c r="B143" s="110" t="inlineStr">
        <is>
          <t>08.1.02.11-0001</t>
        </is>
      </c>
      <c r="C143" s="268" t="inlineStr">
        <is>
          <t>Поковки из квадратных заготовок, масса 1,8 кг</t>
        </is>
      </c>
      <c r="D143" s="263" t="inlineStr">
        <is>
          <t>т</t>
        </is>
      </c>
      <c r="E143" s="116" t="n">
        <v>0.049032</v>
      </c>
      <c r="F143" s="282" t="n">
        <v>5988.78</v>
      </c>
      <c r="G143" s="117">
        <f>ROUND(F143*E143,2)</f>
        <v/>
      </c>
      <c r="H143" s="278">
        <f>G143/$G$151</f>
        <v/>
      </c>
      <c r="I143" s="117">
        <f>ROUND(F143*Прил.10!$D$12,2)</f>
        <v/>
      </c>
      <c r="J143" s="117">
        <f>ROUND(I143*E143,2)</f>
        <v/>
      </c>
    </row>
    <row r="144" hidden="1" outlineLevel="1" ht="14.25" customFormat="1" customHeight="1" s="99">
      <c r="A144" s="265" t="n">
        <v>102</v>
      </c>
      <c r="B144" s="110" t="inlineStr">
        <is>
          <t>01.2.01.02-0054</t>
        </is>
      </c>
      <c r="C144" s="268" t="inlineStr">
        <is>
          <t>Битумы нефтяные строительные БН-90/10</t>
        </is>
      </c>
      <c r="D144" s="263" t="inlineStr">
        <is>
          <t>т</t>
        </is>
      </c>
      <c r="E144" s="116" t="n">
        <v>0.120455</v>
      </c>
      <c r="F144" s="282" t="n">
        <v>1383.17</v>
      </c>
      <c r="G144" s="117">
        <f>ROUND(F144*E144,2)</f>
        <v/>
      </c>
      <c r="H144" s="278">
        <f>G144/$G$151</f>
        <v/>
      </c>
      <c r="I144" s="117">
        <f>ROUND(F144*Прил.10!$D$12,2)</f>
        <v/>
      </c>
      <c r="J144" s="117">
        <f>ROUND(I144*E144,2)</f>
        <v/>
      </c>
    </row>
    <row r="145" hidden="1" outlineLevel="1" ht="25.5" customFormat="1" customHeight="1" s="99">
      <c r="A145" s="265" t="n">
        <v>103</v>
      </c>
      <c r="B145" s="110" t="inlineStr">
        <is>
          <t>14.4.02.04-0142</t>
        </is>
      </c>
      <c r="C145" s="268" t="inlineStr">
        <is>
          <t>Краска масляная земляная МА-0115, мумия, сурик железный</t>
        </is>
      </c>
      <c r="D145" s="263" t="inlineStr">
        <is>
          <t>кг</t>
        </is>
      </c>
      <c r="E145" s="116" t="n">
        <v>10.767738</v>
      </c>
      <c r="F145" s="282" t="n">
        <v>15</v>
      </c>
      <c r="G145" s="117">
        <f>ROUND(F145*E145,2)</f>
        <v/>
      </c>
      <c r="H145" s="278">
        <f>G145/$G$151</f>
        <v/>
      </c>
      <c r="I145" s="117">
        <f>ROUND(F145*Прил.10!$D$12,2)</f>
        <v/>
      </c>
      <c r="J145" s="117">
        <f>ROUND(I145*E145,2)</f>
        <v/>
      </c>
    </row>
    <row r="146" hidden="1" outlineLevel="1" ht="14.25" customFormat="1" customHeight="1" s="99">
      <c r="A146" s="265" t="n">
        <v>104</v>
      </c>
      <c r="B146" s="110" t="inlineStr">
        <is>
          <t>Прайс из СД ОП</t>
        </is>
      </c>
      <c r="C146" s="268" t="inlineStr">
        <is>
          <t>Гайка М20-7Н.4.0112</t>
        </is>
      </c>
      <c r="D146" s="263" t="inlineStr">
        <is>
          <t>шт</t>
        </is>
      </c>
      <c r="E146" s="116" t="n">
        <v>18</v>
      </c>
      <c r="F146" s="282" t="n">
        <v>4.32</v>
      </c>
      <c r="G146" s="117">
        <f>ROUND(F146*E146,2)</f>
        <v/>
      </c>
      <c r="H146" s="278">
        <f>G146/$G$151</f>
        <v/>
      </c>
      <c r="I146" s="117">
        <f>ROUND(F146*Прил.10!$D$12,2)</f>
        <v/>
      </c>
      <c r="J146" s="117">
        <f>ROUND(I146*E146,2)</f>
        <v/>
      </c>
    </row>
    <row r="147" hidden="1" outlineLevel="1" ht="14.25" customFormat="1" customHeight="1" s="99">
      <c r="A147" s="265" t="n">
        <v>105</v>
      </c>
      <c r="B147" s="110" t="inlineStr">
        <is>
          <t>Прайс из СД ОП</t>
        </is>
      </c>
      <c r="C147" s="268" t="inlineStr">
        <is>
          <t>Шплинт 4х28.0112</t>
        </is>
      </c>
      <c r="D147" s="263" t="inlineStr">
        <is>
          <t>шт</t>
        </is>
      </c>
      <c r="E147" s="116" t="n">
        <v>18</v>
      </c>
      <c r="F147" s="282" t="n">
        <v>2.31</v>
      </c>
      <c r="G147" s="117">
        <f>ROUND(F147*E147,2)</f>
        <v/>
      </c>
      <c r="H147" s="278">
        <f>G147/$G$151</f>
        <v/>
      </c>
      <c r="I147" s="117">
        <f>ROUND(F147*Прил.10!$D$12,2)</f>
        <v/>
      </c>
      <c r="J147" s="117">
        <f>ROUND(I147*E147,2)</f>
        <v/>
      </c>
    </row>
    <row r="148" hidden="1" outlineLevel="1" ht="25.5" customFormat="1" customHeight="1" s="99">
      <c r="A148" s="265" t="n">
        <v>106</v>
      </c>
      <c r="B148" s="110" t="inlineStr">
        <is>
          <t>02.2.05.04-1777</t>
        </is>
      </c>
      <c r="C148" s="268" t="inlineStr">
        <is>
          <t>Щебень М 800, фракция 20-40 мм, группа 2</t>
        </is>
      </c>
      <c r="D148" s="263" t="inlineStr">
        <is>
          <t>м3</t>
        </is>
      </c>
      <c r="E148" s="116" t="n">
        <v>0.244644</v>
      </c>
      <c r="F148" s="282" t="n">
        <v>108.44</v>
      </c>
      <c r="G148" s="117">
        <f>ROUND(F148*E148,2)</f>
        <v/>
      </c>
      <c r="H148" s="278">
        <f>G148/$G$151</f>
        <v/>
      </c>
      <c r="I148" s="117">
        <f>ROUND(F148*Прил.10!$D$12,2)</f>
        <v/>
      </c>
      <c r="J148" s="117">
        <f>ROUND(I148*E148,2)</f>
        <v/>
      </c>
    </row>
    <row r="149" hidden="1" outlineLevel="1" ht="14.25" customFormat="1" customHeight="1" s="99">
      <c r="A149" s="265" t="n">
        <v>107</v>
      </c>
      <c r="B149" s="110" t="inlineStr">
        <is>
          <t>01.7.20.08-0051</t>
        </is>
      </c>
      <c r="C149" s="268" t="inlineStr">
        <is>
          <t>Ветошь</t>
        </is>
      </c>
      <c r="D149" s="263" t="inlineStr">
        <is>
          <t>кг</t>
        </is>
      </c>
      <c r="E149" s="116" t="n">
        <v>0.752846</v>
      </c>
      <c r="F149" s="282" t="n">
        <v>1.81</v>
      </c>
      <c r="G149" s="117">
        <f>ROUND(F149*E149,2)</f>
        <v/>
      </c>
      <c r="H149" s="278">
        <f>G149/$G$151</f>
        <v/>
      </c>
      <c r="I149" s="117">
        <f>ROUND(F149*Прил.10!$D$12,2)</f>
        <v/>
      </c>
      <c r="J149" s="117">
        <f>ROUND(I149*E149,2)</f>
        <v/>
      </c>
    </row>
    <row r="150" collapsed="1" customFormat="1" s="99">
      <c r="A150" s="263" t="n"/>
      <c r="B150" s="263" t="n"/>
      <c r="C150" s="268" t="inlineStr">
        <is>
          <t>Итого прочие материалы</t>
        </is>
      </c>
      <c r="D150" s="263" t="n"/>
      <c r="E150" s="269" t="n"/>
      <c r="F150" s="270" t="n"/>
      <c r="G150" s="117">
        <f>SUM(G85:G149)</f>
        <v/>
      </c>
      <c r="H150" s="278">
        <f>G150/G151</f>
        <v/>
      </c>
      <c r="I150" s="117" t="n"/>
      <c r="J150" s="117">
        <f>SUM(J85:J149)</f>
        <v/>
      </c>
      <c r="L150" s="149" t="n"/>
    </row>
    <row r="151" ht="14.25" customFormat="1" customHeight="1" s="99">
      <c r="A151" s="263" t="n"/>
      <c r="B151" s="263" t="n"/>
      <c r="C151" s="277" t="inlineStr">
        <is>
          <t>Итого по разделу «Материалы»</t>
        </is>
      </c>
      <c r="D151" s="263" t="n"/>
      <c r="E151" s="269" t="n"/>
      <c r="F151" s="270" t="n"/>
      <c r="G151" s="117">
        <f>G84+G150</f>
        <v/>
      </c>
      <c r="H151" s="278" t="n">
        <v>1</v>
      </c>
      <c r="I151" s="270" t="n"/>
      <c r="J151" s="117">
        <f>J84+J150</f>
        <v/>
      </c>
      <c r="K151" s="67" t="n"/>
      <c r="M151" s="89" t="n"/>
    </row>
    <row r="152" ht="14.25" customFormat="1" customHeight="1" s="99">
      <c r="A152" s="263" t="n"/>
      <c r="B152" s="263" t="n"/>
      <c r="C152" s="268" t="inlineStr">
        <is>
          <t>ИТОГО ПО РМ</t>
        </is>
      </c>
      <c r="D152" s="263" t="n"/>
      <c r="E152" s="269" t="n"/>
      <c r="F152" s="270" t="n"/>
      <c r="G152" s="117">
        <f>G14+G62+G151</f>
        <v/>
      </c>
      <c r="H152" s="278" t="n"/>
      <c r="I152" s="270" t="n"/>
      <c r="J152" s="117">
        <f>J14+J62+J151</f>
        <v/>
      </c>
    </row>
    <row r="153" ht="14.25" customFormat="1" customHeight="1" s="99">
      <c r="A153" s="263" t="n"/>
      <c r="B153" s="263" t="n"/>
      <c r="C153" s="268" t="inlineStr">
        <is>
          <t>Накладные расходы</t>
        </is>
      </c>
      <c r="D153" s="263" t="inlineStr">
        <is>
          <t>%</t>
        </is>
      </c>
      <c r="E153" s="87" t="n">
        <v>1.08</v>
      </c>
      <c r="F153" s="270" t="n"/>
      <c r="G153" s="117" t="n">
        <v>1148790.31</v>
      </c>
      <c r="H153" s="278" t="n"/>
      <c r="I153" s="270" t="n"/>
      <c r="J153" s="117">
        <f>ROUND(E153*(J14+J16),2)</f>
        <v/>
      </c>
      <c r="K153" s="88" t="n"/>
    </row>
    <row r="154" ht="14.25" customFormat="1" customHeight="1" s="99">
      <c r="A154" s="263" t="n"/>
      <c r="B154" s="263" t="n"/>
      <c r="C154" s="268" t="inlineStr">
        <is>
          <t>Сметная прибыль</t>
        </is>
      </c>
      <c r="D154" s="263" t="inlineStr">
        <is>
          <t>%</t>
        </is>
      </c>
      <c r="E154" s="87" t="n">
        <v>0.63</v>
      </c>
      <c r="F154" s="270" t="n"/>
      <c r="G154" s="117" t="n">
        <v>669446.01</v>
      </c>
      <c r="H154" s="278" t="n"/>
      <c r="I154" s="270" t="n"/>
      <c r="J154" s="117">
        <f>ROUND(E154*(J14+J16),2)</f>
        <v/>
      </c>
      <c r="K154" s="88" t="n"/>
    </row>
    <row r="155" ht="14.25" customFormat="1" customHeight="1" s="99">
      <c r="A155" s="263" t="n"/>
      <c r="B155" s="263" t="n"/>
      <c r="C155" s="268" t="inlineStr">
        <is>
          <t>Итого СМР (с НР и СП)</t>
        </is>
      </c>
      <c r="D155" s="263" t="n"/>
      <c r="E155" s="269" t="n"/>
      <c r="F155" s="270" t="n"/>
      <c r="G155" s="117">
        <f>G14+G62+G151+G153+G154</f>
        <v/>
      </c>
      <c r="H155" s="278" t="n"/>
      <c r="I155" s="270" t="n"/>
      <c r="J155" s="117">
        <f>J14+J62+J151+J153+J154</f>
        <v/>
      </c>
      <c r="L155" s="89" t="n"/>
    </row>
    <row r="156" ht="14.25" customFormat="1" customHeight="1" s="99">
      <c r="A156" s="263" t="n"/>
      <c r="B156" s="263" t="n"/>
      <c r="C156" s="268" t="inlineStr">
        <is>
          <t>ВСЕГО СМР + ОБОРУДОВАНИЕ</t>
        </is>
      </c>
      <c r="D156" s="263" t="n"/>
      <c r="E156" s="269" t="n"/>
      <c r="F156" s="270" t="n"/>
      <c r="G156" s="117">
        <f>G155+G67</f>
        <v/>
      </c>
      <c r="H156" s="278" t="n"/>
      <c r="I156" s="270" t="n"/>
      <c r="J156" s="117">
        <f>J155+J67</f>
        <v/>
      </c>
      <c r="L156" s="88" t="n"/>
    </row>
    <row r="157" ht="14.25" customFormat="1" customHeight="1" s="99">
      <c r="A157" s="263" t="n"/>
      <c r="B157" s="263" t="n"/>
      <c r="C157" s="268" t="inlineStr">
        <is>
          <t>ИТОГО ПОКАЗАТЕЛЬ НА ЕД. ИЗМ.</t>
        </is>
      </c>
      <c r="D157" s="263" t="inlineStr">
        <is>
          <t>ед.</t>
        </is>
      </c>
      <c r="E157" s="90">
        <f>'Прил.1 Сравнит табл'!D15</f>
        <v/>
      </c>
      <c r="F157" s="270" t="n"/>
      <c r="G157" s="117">
        <f>G156/E157</f>
        <v/>
      </c>
      <c r="H157" s="278" t="n"/>
      <c r="I157" s="270" t="n"/>
      <c r="J157" s="117">
        <f>J156/E157</f>
        <v/>
      </c>
      <c r="L157" s="108" t="n"/>
    </row>
    <row r="159" ht="14.25" customFormat="1" customHeight="1" s="99">
      <c r="A159" s="204" t="n"/>
    </row>
    <row r="160" ht="14.25" customFormat="1" customHeight="1" s="99">
      <c r="B160" s="196" t="inlineStr">
        <is>
          <t>Составил ______________________        Е.А. Князева</t>
        </is>
      </c>
      <c r="C160" s="99" t="n"/>
    </row>
    <row r="161" ht="14.25" customFormat="1" customHeight="1" s="99">
      <c r="B161" s="206" t="inlineStr">
        <is>
          <t xml:space="preserve">                         (подпись, инициалы, фамилия)</t>
        </is>
      </c>
      <c r="C161" s="99" t="n"/>
    </row>
    <row r="162" ht="14.25" customFormat="1" customHeight="1" s="99">
      <c r="B162" s="196" t="n"/>
      <c r="C162" s="99" t="n"/>
    </row>
    <row r="163" ht="14.25" customFormat="1" customHeight="1" s="99">
      <c r="B163" s="196" t="inlineStr">
        <is>
          <t>Проверил ______________________        А.В. Костянецкая</t>
        </is>
      </c>
      <c r="C163" s="99" t="n"/>
    </row>
    <row r="164" ht="14.25" customFormat="1" customHeight="1" s="99">
      <c r="B164" s="206" t="inlineStr">
        <is>
          <t xml:space="preserve">                        (подпись, инициалы, фамилия)</t>
        </is>
      </c>
      <c r="C164" s="99" t="n"/>
    </row>
  </sheetData>
  <mergeCells count="19">
    <mergeCell ref="H9:H10"/>
    <mergeCell ref="B15:H15"/>
    <mergeCell ref="B69:J69"/>
    <mergeCell ref="C9:C10"/>
    <mergeCell ref="E9:E10"/>
    <mergeCell ref="A7:H7"/>
    <mergeCell ref="B64:J64"/>
    <mergeCell ref="B9:B10"/>
    <mergeCell ref="D9:D10"/>
    <mergeCell ref="B18:H18"/>
    <mergeCell ref="B12:H12"/>
    <mergeCell ref="B63:J63"/>
    <mergeCell ref="B70:H70"/>
    <mergeCell ref="D6:J6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D25" sqref="D25"/>
    </sheetView>
  </sheetViews>
  <sheetFormatPr baseColWidth="8" defaultRowHeight="15"/>
  <cols>
    <col width="5.7109375" customWidth="1" style="209" min="1" max="1"/>
    <col width="14.85546875" customWidth="1" style="209" min="2" max="2"/>
    <col width="39.140625" customWidth="1" style="209" min="3" max="3"/>
    <col width="8.28515625" customWidth="1" style="209" min="4" max="4"/>
    <col width="13.5703125" customWidth="1" style="209" min="5" max="5"/>
    <col width="12.42578125" customWidth="1" style="209" min="6" max="6"/>
    <col width="14.140625" customWidth="1" style="209" min="7" max="7"/>
  </cols>
  <sheetData>
    <row r="1">
      <c r="A1" s="283" t="inlineStr">
        <is>
          <t>Приложение №6</t>
        </is>
      </c>
    </row>
    <row r="2" s="209">
      <c r="A2" s="283" t="n"/>
      <c r="B2" s="283" t="n"/>
      <c r="C2" s="283" t="n"/>
      <c r="D2" s="283" t="n"/>
      <c r="E2" s="283" t="n"/>
      <c r="F2" s="283" t="n"/>
      <c r="G2" s="283" t="n"/>
    </row>
    <row r="3" s="209">
      <c r="A3" s="283" t="n"/>
      <c r="B3" s="283" t="n"/>
      <c r="C3" s="283" t="n"/>
      <c r="D3" s="283" t="n"/>
      <c r="E3" s="283" t="n"/>
      <c r="F3" s="283" t="n"/>
      <c r="G3" s="283" t="n"/>
    </row>
    <row r="4">
      <c r="A4" s="283" t="n"/>
      <c r="B4" s="283" t="n"/>
      <c r="C4" s="283" t="n"/>
      <c r="D4" s="283" t="n"/>
      <c r="E4" s="283" t="n"/>
      <c r="F4" s="283" t="n"/>
      <c r="G4" s="283" t="n"/>
    </row>
    <row r="5">
      <c r="A5" s="260" t="inlineStr">
        <is>
          <t>Расчет стоимости оборудования</t>
        </is>
      </c>
    </row>
    <row r="6" ht="64.5" customHeight="1" s="209">
      <c r="A6" s="285">
        <f>'Прил.1 Сравнит табл'!B7</f>
        <v/>
      </c>
    </row>
    <row r="7">
      <c r="A7" s="196" t="n"/>
      <c r="B7" s="196" t="n"/>
      <c r="C7" s="196" t="n"/>
      <c r="D7" s="196" t="n"/>
      <c r="E7" s="196" t="n"/>
      <c r="F7" s="196" t="n"/>
      <c r="G7" s="196" t="n"/>
    </row>
    <row r="8" ht="30" customHeight="1" s="209">
      <c r="A8" s="284" t="inlineStr">
        <is>
          <t>№ пп.</t>
        </is>
      </c>
      <c r="B8" s="284" t="inlineStr">
        <is>
          <t>Код ресурса</t>
        </is>
      </c>
      <c r="C8" s="284" t="inlineStr">
        <is>
          <t>Наименование</t>
        </is>
      </c>
      <c r="D8" s="284" t="inlineStr">
        <is>
          <t>Ед. изм.</t>
        </is>
      </c>
      <c r="E8" s="263" t="inlineStr">
        <is>
          <t>Кол-во единиц по проектным данным</t>
        </is>
      </c>
      <c r="F8" s="284" t="inlineStr">
        <is>
          <t>Сметная стоимость в ценах на 01.01.2000 (руб.)</t>
        </is>
      </c>
      <c r="G8" s="289" t="n"/>
    </row>
    <row r="9">
      <c r="A9" s="291" t="n"/>
      <c r="B9" s="291" t="n"/>
      <c r="C9" s="291" t="n"/>
      <c r="D9" s="291" t="n"/>
      <c r="E9" s="291" t="n"/>
      <c r="F9" s="263" t="inlineStr">
        <is>
          <t>на ед. изм.</t>
        </is>
      </c>
      <c r="G9" s="263" t="inlineStr">
        <is>
          <t>общая</t>
        </is>
      </c>
    </row>
    <row r="10">
      <c r="A10" s="263" t="n">
        <v>1</v>
      </c>
      <c r="B10" s="263" t="n">
        <v>2</v>
      </c>
      <c r="C10" s="263" t="n">
        <v>3</v>
      </c>
      <c r="D10" s="263" t="n">
        <v>4</v>
      </c>
      <c r="E10" s="263" t="n">
        <v>5</v>
      </c>
      <c r="F10" s="263" t="n">
        <v>6</v>
      </c>
      <c r="G10" s="263" t="n">
        <v>7</v>
      </c>
    </row>
    <row r="11" ht="15" customHeight="1" s="209">
      <c r="A11" s="51" t="n"/>
      <c r="B11" s="268" t="inlineStr">
        <is>
          <t>ИНЖЕНЕРНОЕ ОБОРУДОВАНИЕ</t>
        </is>
      </c>
      <c r="C11" s="288" t="n"/>
      <c r="D11" s="288" t="n"/>
      <c r="E11" s="288" t="n"/>
      <c r="F11" s="288" t="n"/>
      <c r="G11" s="289" t="n"/>
    </row>
    <row r="12" ht="27" customHeight="1" s="209">
      <c r="A12" s="263" t="n"/>
      <c r="B12" s="277" t="n"/>
      <c r="C12" s="268" t="inlineStr">
        <is>
          <t>ИТОГО ИНЖЕНЕРНОЕ ОБОРУДОВАНИЕ</t>
        </is>
      </c>
      <c r="D12" s="277" t="n"/>
      <c r="E12" s="9" t="n"/>
      <c r="F12" s="270" t="n"/>
      <c r="G12" s="270" t="n">
        <v>0</v>
      </c>
    </row>
    <row r="13">
      <c r="A13" s="263" t="n"/>
      <c r="B13" s="268" t="inlineStr">
        <is>
          <t>ТЕХНОЛОГИЧЕСКОЕ ОБОРУДОВАНИЕ</t>
        </is>
      </c>
      <c r="C13" s="288" t="n"/>
      <c r="D13" s="288" t="n"/>
      <c r="E13" s="288" t="n"/>
      <c r="F13" s="288" t="n"/>
      <c r="G13" s="289" t="n"/>
    </row>
    <row r="14" ht="25.5" customHeight="1" s="209">
      <c r="A14" s="263" t="n"/>
      <c r="B14" s="185" t="n"/>
      <c r="C14" s="185" t="inlineStr">
        <is>
          <t>ИТОГО ТЕХНОЛОГИЧЕСКОЕ ОБОРУДОВАНИЕ</t>
        </is>
      </c>
      <c r="D14" s="185" t="n"/>
      <c r="E14" s="188" t="n"/>
      <c r="F14" s="270" t="n"/>
      <c r="G14" s="117" t="n">
        <v>0</v>
      </c>
    </row>
    <row r="15" ht="19.5" customHeight="1" s="209">
      <c r="A15" s="263" t="n"/>
      <c r="B15" s="268" t="n"/>
      <c r="C15" s="268" t="inlineStr">
        <is>
          <t>Всего по разделу «Оборудование»</t>
        </is>
      </c>
      <c r="D15" s="268" t="n"/>
      <c r="E15" s="282" t="n"/>
      <c r="F15" s="270" t="n"/>
      <c r="G15" s="117">
        <f>G12+G14</f>
        <v/>
      </c>
    </row>
    <row r="16">
      <c r="A16" s="204" t="n"/>
      <c r="B16" s="205" t="n"/>
      <c r="C16" s="204" t="n"/>
      <c r="D16" s="204" t="n"/>
      <c r="E16" s="204" t="n"/>
      <c r="F16" s="204" t="n"/>
      <c r="G16" s="204" t="n"/>
    </row>
    <row r="17" s="209">
      <c r="A17" s="196" t="inlineStr">
        <is>
          <t>Составил ______________________        Е.А. Князева</t>
        </is>
      </c>
      <c r="B17" s="99" t="n"/>
      <c r="C17" s="99" t="n"/>
      <c r="D17" s="204" t="n"/>
      <c r="E17" s="204" t="n"/>
      <c r="F17" s="204" t="n"/>
      <c r="G17" s="204" t="n"/>
    </row>
    <row r="18" s="209">
      <c r="A18" s="206" t="inlineStr">
        <is>
          <t xml:space="preserve">                         (подпись, инициалы, фамилия)</t>
        </is>
      </c>
      <c r="B18" s="99" t="n"/>
      <c r="C18" s="99" t="n"/>
      <c r="D18" s="204" t="n"/>
      <c r="E18" s="204" t="n"/>
      <c r="F18" s="204" t="n"/>
      <c r="G18" s="204" t="n"/>
    </row>
    <row r="19" s="209">
      <c r="A19" s="196" t="n"/>
      <c r="B19" s="99" t="n"/>
      <c r="C19" s="99" t="n"/>
      <c r="D19" s="204" t="n"/>
      <c r="E19" s="204" t="n"/>
      <c r="F19" s="204" t="n"/>
      <c r="G19" s="204" t="n"/>
    </row>
    <row r="20" s="209">
      <c r="A20" s="196" t="inlineStr">
        <is>
          <t>Проверил ______________________        А.В. Костянецкая</t>
        </is>
      </c>
      <c r="B20" s="99" t="n"/>
      <c r="C20" s="99" t="n"/>
      <c r="D20" s="204" t="n"/>
      <c r="E20" s="204" t="n"/>
      <c r="F20" s="204" t="n"/>
      <c r="G20" s="204" t="n"/>
    </row>
    <row r="21" s="209">
      <c r="A21" s="206" t="inlineStr">
        <is>
          <t xml:space="preserve">                        (подпись, инициалы, фамилия)</t>
        </is>
      </c>
      <c r="B21" s="99" t="n"/>
      <c r="C21" s="99" t="n"/>
      <c r="D21" s="204" t="n"/>
      <c r="E21" s="204" t="n"/>
      <c r="F21" s="204" t="n"/>
      <c r="G21" s="20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1.85546875" customWidth="1" style="209" min="1" max="1"/>
    <col width="29.7109375" customWidth="1" style="209" min="2" max="2"/>
    <col width="35" customWidth="1" style="209" min="3" max="3"/>
    <col width="27.5703125" customWidth="1" style="209" min="4" max="4"/>
    <col width="24.85546875" customWidth="1" style="209" min="5" max="5"/>
    <col width="8.85546875" customWidth="1" style="209" min="6" max="6"/>
  </cols>
  <sheetData>
    <row r="1">
      <c r="B1" s="196" t="n"/>
      <c r="C1" s="196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 s="209">
      <c r="A3" s="260" t="inlineStr">
        <is>
          <t>Расчет показателя УНЦ</t>
        </is>
      </c>
    </row>
    <row r="4" ht="24.75" customHeight="1" s="209">
      <c r="A4" s="260" t="n"/>
      <c r="B4" s="260" t="n"/>
      <c r="C4" s="260" t="n"/>
      <c r="D4" s="260" t="n"/>
    </row>
    <row r="5" ht="51" customHeight="1" s="209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</f>
        <v/>
      </c>
    </row>
    <row r="6" ht="19.9" customHeight="1" s="209">
      <c r="A6" s="276">
        <f>'Прил.1 Сравнит табл'!B9</f>
        <v/>
      </c>
      <c r="D6" s="276" t="n"/>
    </row>
    <row r="7">
      <c r="A7" s="196" t="n"/>
      <c r="B7" s="196" t="n"/>
      <c r="C7" s="196" t="n"/>
      <c r="D7" s="196" t="n"/>
    </row>
    <row r="8" ht="14.45" customHeight="1" s="209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9">
      <c r="A9" s="291" t="n"/>
      <c r="B9" s="291" t="n"/>
      <c r="C9" s="291" t="n"/>
      <c r="D9" s="291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51" customHeight="1" s="209">
      <c r="A11" s="263" t="inlineStr">
        <is>
          <t>Л1-05-4</t>
        </is>
      </c>
      <c r="B11" s="263" t="inlineStr">
        <is>
          <t>УНЦ ВЛ 0,4 - 750 кВ на строительно-монтажные работы без опор и провода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>
        <f>'Прил.1 Сравнит табл'!B28</f>
        <v/>
      </c>
      <c r="B13" s="99" t="n"/>
      <c r="C13" s="99" t="n"/>
      <c r="D13" s="204" t="n"/>
    </row>
    <row r="14">
      <c r="A14" s="206" t="inlineStr">
        <is>
          <t xml:space="preserve">                         (подпись, инициалы, фамилия)</t>
        </is>
      </c>
      <c r="B14" s="99" t="n"/>
      <c r="C14" s="99" t="n"/>
      <c r="D14" s="204" t="n"/>
    </row>
    <row r="15">
      <c r="A15" s="196" t="n"/>
      <c r="B15" s="99" t="n"/>
      <c r="C15" s="99" t="n"/>
      <c r="D15" s="204" t="n"/>
    </row>
    <row r="16">
      <c r="A16" s="196" t="inlineStr">
        <is>
          <t>Проверил ______________________        А.В. Костянецкая</t>
        </is>
      </c>
      <c r="B16" s="99" t="n"/>
      <c r="C16" s="99" t="n"/>
      <c r="D16" s="204" t="n"/>
    </row>
    <row r="17">
      <c r="A17" s="206" t="inlineStr">
        <is>
          <t xml:space="preserve">                        (подпись, инициалы, фамилия)</t>
        </is>
      </c>
      <c r="B17" s="99" t="n"/>
      <c r="C17" s="99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7" zoomScale="60" zoomScaleNormal="100" workbookViewId="0">
      <selection activeCell="D21" sqref="D20:D21"/>
    </sheetView>
  </sheetViews>
  <sheetFormatPr baseColWidth="8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50" t="inlineStr">
        <is>
          <t>Приложение № 10</t>
        </is>
      </c>
    </row>
    <row r="5" ht="18.75" customHeight="1" s="209">
      <c r="B5" s="40" t="n"/>
    </row>
    <row r="6" ht="15.75" customHeight="1" s="209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 ht="47.25" customHeight="1" s="209">
      <c r="B8" s="254" t="inlineStr">
        <is>
          <t>Наименование индекса / норм сопутствующих затрат</t>
        </is>
      </c>
      <c r="C8" s="254" t="inlineStr">
        <is>
          <t>Дата применения и обоснование индекса / норм сопутствующих затрат</t>
        </is>
      </c>
      <c r="D8" s="254" t="inlineStr">
        <is>
          <t>Размер индекса / норма сопутствующих затрат</t>
        </is>
      </c>
    </row>
    <row r="9" ht="15.75" customHeight="1" s="209">
      <c r="B9" s="254" t="n">
        <v>1</v>
      </c>
      <c r="C9" s="254" t="n">
        <v>2</v>
      </c>
      <c r="D9" s="254" t="n">
        <v>3</v>
      </c>
    </row>
    <row r="10" ht="31.5" customHeight="1" s="209">
      <c r="B10" s="254" t="inlineStr">
        <is>
          <t xml:space="preserve">Индекс изменения сметной стоимости на 1 квартал 2023 года. ОЗП </t>
        </is>
      </c>
      <c r="C10" s="254" t="inlineStr">
        <is>
          <t>Письмо Минстроя России от 30.03.2023г. №17106-ИФ/09  прил.1</t>
        </is>
      </c>
      <c r="D10" s="254" t="n">
        <v>46.83</v>
      </c>
    </row>
    <row r="11" ht="31.5" customHeight="1" s="209">
      <c r="B11" s="254" t="inlineStr">
        <is>
          <t>Индекс изменения сметной стоимости на 1 квартал 2023 года. ЭМ</t>
        </is>
      </c>
      <c r="C11" s="254" t="inlineStr">
        <is>
          <t>Письмо Минстроя России от 30.03.2023г. №17106-ИФ/09  прил.1</t>
        </is>
      </c>
      <c r="D11" s="254" t="n">
        <v>11.96</v>
      </c>
    </row>
    <row r="12" ht="31.5" customHeight="1" s="209">
      <c r="B12" s="254" t="inlineStr">
        <is>
          <t>Индекс изменения сметной стоимости на 1 квартал 2023 года. МАТ</t>
        </is>
      </c>
      <c r="C12" s="254" t="inlineStr">
        <is>
          <t>Письмо Минстроя России от 30.03.2023г. №17106-ИФ/09  прил.1</t>
        </is>
      </c>
      <c r="D12" s="254" t="n">
        <v>9.84</v>
      </c>
    </row>
    <row r="13" ht="31.5" customHeight="1" s="209">
      <c r="B13" s="254" t="inlineStr">
        <is>
          <t>Индекс изменения сметной стоимости на 1 квартал 2023 года. ОБ</t>
        </is>
      </c>
      <c r="C13" s="127" t="inlineStr">
        <is>
          <t>Письмо Минстроя России от 23.02.2023г. №9791-ИФ/09 прил.6</t>
        </is>
      </c>
      <c r="D13" s="254" t="n">
        <v>6.26</v>
      </c>
    </row>
    <row r="14" ht="78.75" customHeight="1" s="209">
      <c r="B14" s="254" t="inlineStr">
        <is>
          <t>Временные здания и сооружения</t>
        </is>
      </c>
      <c r="C14" s="25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6" t="n">
        <v>0.033</v>
      </c>
    </row>
    <row r="15" ht="78.75" customHeight="1" s="209">
      <c r="B15" s="254" t="inlineStr">
        <is>
          <t>Дополнительные затраты при производстве строительно-монтажных работ в зимнее время</t>
        </is>
      </c>
      <c r="C15" s="2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6" t="n">
        <v>0.01</v>
      </c>
    </row>
    <row r="16" ht="31.5" customHeight="1" s="209">
      <c r="B16" s="254" t="inlineStr">
        <is>
          <t>Строительный контроль</t>
        </is>
      </c>
      <c r="C16" s="254" t="inlineStr">
        <is>
          <t>Постановление Правительства РФ от 21.06.10 г. № 468</t>
        </is>
      </c>
      <c r="D16" s="246" t="n">
        <v>0.0214</v>
      </c>
    </row>
    <row r="17" ht="31.5" customHeight="1" s="209">
      <c r="B17" s="254" t="inlineStr">
        <is>
          <t>Авторский надзор - 0,2%</t>
        </is>
      </c>
      <c r="C17" s="254" t="inlineStr">
        <is>
          <t>Приказ от 4.08.2020 № 421/пр п.173</t>
        </is>
      </c>
      <c r="D17" s="246" t="n">
        <v>0.002</v>
      </c>
    </row>
    <row r="18" ht="24" customHeight="1" s="209">
      <c r="B18" s="254" t="inlineStr">
        <is>
          <t>Непредвиденные расходы</t>
        </is>
      </c>
      <c r="C18" s="254" t="inlineStr">
        <is>
          <t>Приказ от 4.08.2020 № 421/пр п.179</t>
        </is>
      </c>
      <c r="D18" s="246" t="n">
        <v>0.03</v>
      </c>
    </row>
    <row r="19" ht="18.75" customHeight="1" s="209">
      <c r="B19" s="41" t="n"/>
    </row>
    <row r="20" ht="18.75" customHeight="1" s="209">
      <c r="B20" s="41" t="n"/>
    </row>
    <row r="21" ht="18.75" customHeight="1" s="209">
      <c r="B21" s="41" t="n"/>
    </row>
    <row r="22" ht="18.75" customHeight="1" s="209">
      <c r="B22" s="41" t="n"/>
    </row>
    <row r="25">
      <c r="B25" s="196" t="inlineStr">
        <is>
          <t>Составил ______________________        Е.А. Князева</t>
        </is>
      </c>
      <c r="C25" s="99" t="n"/>
    </row>
    <row r="26">
      <c r="B26" s="206" t="inlineStr">
        <is>
          <t xml:space="preserve">                         (подпись, инициалы, фамилия)</t>
        </is>
      </c>
      <c r="C26" s="99" t="n"/>
    </row>
    <row r="27">
      <c r="B27" s="196" t="n"/>
      <c r="C27" s="99" t="n"/>
    </row>
    <row r="28">
      <c r="B28" s="196" t="inlineStr">
        <is>
          <t>Проверил ______________________        А.В. Костянецкая</t>
        </is>
      </c>
      <c r="C28" s="99" t="n"/>
    </row>
    <row r="29">
      <c r="B29" s="206" t="inlineStr">
        <is>
          <t xml:space="preserve">                        (подпись, инициалы, фамилия)</t>
        </is>
      </c>
      <c r="C29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G1" sqref="G1:G1048576"/>
    </sheetView>
  </sheetViews>
  <sheetFormatPr baseColWidth="8" defaultRowHeight="15"/>
  <cols>
    <col width="9.140625" customWidth="1" style="209" min="1" max="1"/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  <col width="9.140625" customWidth="1" style="209" min="7" max="7"/>
  </cols>
  <sheetData>
    <row r="2" ht="18" customHeight="1" s="209">
      <c r="A2" s="28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209">
      <c r="A7" s="25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5" t="inlineStr">
        <is>
          <t>С1ср</t>
        </is>
      </c>
      <c r="D7" s="215" t="inlineStr">
        <is>
          <t>-</t>
        </is>
      </c>
      <c r="E7" s="216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209">
      <c r="A8" s="25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15" t="inlineStr">
        <is>
          <t>tср</t>
        </is>
      </c>
      <c r="D8" s="215" t="inlineStr">
        <is>
          <t>1973ч/12мес.</t>
        </is>
      </c>
      <c r="E8" s="216">
        <f>1973/12</f>
        <v/>
      </c>
      <c r="F8" s="214" t="inlineStr">
        <is>
          <t>Производственный календарь 2023 год
(40-часов.неделя)</t>
        </is>
      </c>
      <c r="G8" s="210" t="n"/>
    </row>
    <row r="9">
      <c r="A9" s="25" t="inlineStr">
        <is>
          <t>1.3</t>
        </is>
      </c>
      <c r="B9" s="214" t="inlineStr">
        <is>
          <t>Коэффициент увеличения</t>
        </is>
      </c>
      <c r="C9" s="215" t="inlineStr">
        <is>
          <t>Кув</t>
        </is>
      </c>
      <c r="D9" s="215" t="inlineStr">
        <is>
          <t>-</t>
        </is>
      </c>
      <c r="E9" s="216" t="n">
        <v>1</v>
      </c>
      <c r="F9" s="214" t="n"/>
      <c r="G9" s="211" t="n"/>
    </row>
    <row r="10">
      <c r="A10" s="25" t="inlineStr">
        <is>
          <t>1.4</t>
        </is>
      </c>
      <c r="B10" s="214" t="inlineStr">
        <is>
          <t>Средний разряд работ</t>
        </is>
      </c>
      <c r="C10" s="215" t="n"/>
      <c r="D10" s="215" t="n"/>
      <c r="E10" s="217" t="n">
        <v>3.6</v>
      </c>
      <c r="F10" s="214" t="inlineStr">
        <is>
          <t>РТМ</t>
        </is>
      </c>
      <c r="G10" s="211" t="n"/>
    </row>
    <row r="11" ht="75" customHeight="1" s="209">
      <c r="A11" s="25" t="inlineStr">
        <is>
          <t>1.5</t>
        </is>
      </c>
      <c r="B11" s="214" t="inlineStr">
        <is>
          <t>Тарифный коэффициент среднего разряда работ</t>
        </is>
      </c>
      <c r="C11" s="215" t="inlineStr">
        <is>
          <t>КТ</t>
        </is>
      </c>
      <c r="D11" s="215" t="inlineStr">
        <is>
          <t>-</t>
        </is>
      </c>
      <c r="E11" s="34" t="n">
        <v>1.278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0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0" customHeight="1" s="20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39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B14" s="212" t="inlineStr">
        <is>
          <t>Инженер I категории</t>
        </is>
      </c>
    </row>
    <row r="15" ht="90" customHeight="1" s="209">
      <c r="A15" s="25" t="inlineStr">
        <is>
          <t>1.1</t>
        </is>
      </c>
      <c r="B15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15" t="inlineStr">
        <is>
          <t>С1ср</t>
        </is>
      </c>
      <c r="D15" s="215" t="inlineStr">
        <is>
          <t>-</t>
        </is>
      </c>
      <c r="E15" s="216">
        <f>E7</f>
        <v/>
      </c>
      <c r="F15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09">
      <c r="A16" s="25" t="inlineStr">
        <is>
          <t>1.2</t>
        </is>
      </c>
      <c r="B16" s="214" t="inlineStr">
        <is>
          <t>Среднегодовое нормативное число часов работы одного рабочего в месяц, часы (ч.)</t>
        </is>
      </c>
      <c r="C16" s="215" t="inlineStr">
        <is>
          <t>tср</t>
        </is>
      </c>
      <c r="D16" s="215" t="inlineStr">
        <is>
          <t>1973ч/12мес.</t>
        </is>
      </c>
      <c r="E16" s="216">
        <f>E8</f>
        <v/>
      </c>
      <c r="F16" s="214" t="inlineStr">
        <is>
          <t>Производственный календарь 2023 год
(40-часов.неделя)</t>
        </is>
      </c>
      <c r="G16" s="210" t="n"/>
    </row>
    <row r="17">
      <c r="A17" s="25" t="inlineStr">
        <is>
          <t>1.3</t>
        </is>
      </c>
      <c r="B17" s="214" t="inlineStr">
        <is>
          <t>Коэффициент увеличения</t>
        </is>
      </c>
      <c r="C17" s="215" t="inlineStr">
        <is>
          <t>Кув</t>
        </is>
      </c>
      <c r="D17" s="215" t="inlineStr">
        <is>
          <t>-</t>
        </is>
      </c>
      <c r="E17" s="216" t="n">
        <v>1</v>
      </c>
      <c r="F17" s="214" t="n"/>
      <c r="G17" s="211" t="n"/>
    </row>
    <row r="18">
      <c r="A18" s="25" t="inlineStr">
        <is>
          <t>1.4</t>
        </is>
      </c>
      <c r="B18" s="214" t="inlineStr">
        <is>
          <t>Средний разряд работ</t>
        </is>
      </c>
      <c r="C18" s="215" t="n"/>
      <c r="D18" s="215" t="n"/>
      <c r="E18" s="217" t="n">
        <v>1</v>
      </c>
      <c r="F18" s="214" t="inlineStr">
        <is>
          <t>РТМ</t>
        </is>
      </c>
      <c r="G18" s="211" t="n"/>
    </row>
    <row r="19" ht="75" customHeight="1" s="209">
      <c r="A19" s="25" t="inlineStr">
        <is>
          <t>1.5</t>
        </is>
      </c>
      <c r="B19" s="214" t="inlineStr">
        <is>
          <t>Тарифный коэффициент среднего разряда работ</t>
        </is>
      </c>
      <c r="C19" s="215" t="inlineStr">
        <is>
          <t>КТ</t>
        </is>
      </c>
      <c r="D19" s="215" t="inlineStr">
        <is>
          <t>-</t>
        </is>
      </c>
      <c r="E19" s="34" t="n">
        <v>2.15</v>
      </c>
      <c r="F19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09">
      <c r="A20" s="25" t="inlineStr">
        <is>
          <t>1.6</t>
        </is>
      </c>
      <c r="B20" s="35" t="inlineStr">
        <is>
          <t>Коэффициент инфляции, определяемый поквартально</t>
        </is>
      </c>
      <c r="C20" s="215" t="inlineStr">
        <is>
          <t>Кинф</t>
        </is>
      </c>
      <c r="D20" s="215" t="inlineStr">
        <is>
          <t>-</t>
        </is>
      </c>
      <c r="E20" s="36" t="n">
        <v>1.139</v>
      </c>
      <c r="F20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1" t="n"/>
    </row>
    <row r="21" ht="60" customHeight="1" s="209">
      <c r="A21" s="25" t="inlineStr">
        <is>
          <t>1.7</t>
        </is>
      </c>
      <c r="B21" s="38" t="inlineStr">
        <is>
          <t>Размер средств на оплату труда рабочих-строителей в текущем уровне цен (ФОТи.тек.), руб/чел.-ч</t>
        </is>
      </c>
      <c r="C21" s="215" t="inlineStr">
        <is>
          <t>ФОТр.тек.</t>
        </is>
      </c>
      <c r="D21" s="215" t="inlineStr">
        <is>
          <t>(С1ср/tср*КТ*Т*Кув)*Кинф</t>
        </is>
      </c>
      <c r="E21" s="39">
        <f>((E15*E17/E16)*E19)*E20</f>
        <v/>
      </c>
      <c r="F21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B22" s="212" t="inlineStr">
        <is>
          <t>Инженер II категории</t>
        </is>
      </c>
    </row>
    <row r="23" ht="90" customHeight="1" s="209">
      <c r="A23" s="25" t="inlineStr">
        <is>
          <t>1.1</t>
        </is>
      </c>
      <c r="B23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15" t="inlineStr">
        <is>
          <t>С1ср</t>
        </is>
      </c>
      <c r="D23" s="215" t="inlineStr">
        <is>
          <t>-</t>
        </is>
      </c>
      <c r="E23" s="216">
        <f>E7</f>
        <v/>
      </c>
      <c r="F23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30" customHeight="1" s="209">
      <c r="A24" s="25" t="inlineStr">
        <is>
          <t>1.2</t>
        </is>
      </c>
      <c r="B24" s="214" t="inlineStr">
        <is>
          <t>Среднегодовое нормативное число часов работы одного рабочего в месяц, часы (ч.)</t>
        </is>
      </c>
      <c r="C24" s="215" t="inlineStr">
        <is>
          <t>tср</t>
        </is>
      </c>
      <c r="D24" s="215" t="inlineStr">
        <is>
          <t>1973ч/12мес.</t>
        </is>
      </c>
      <c r="E24" s="216">
        <f>E8</f>
        <v/>
      </c>
      <c r="F24" s="214" t="inlineStr">
        <is>
          <t>Производственный календарь 2023 год
(40-часов.неделя)</t>
        </is>
      </c>
      <c r="G24" s="210" t="n"/>
    </row>
    <row r="25">
      <c r="A25" s="25" t="inlineStr">
        <is>
          <t>1.3</t>
        </is>
      </c>
      <c r="B25" s="214" t="inlineStr">
        <is>
          <t>Коэффициент увеличения</t>
        </is>
      </c>
      <c r="C25" s="215" t="inlineStr">
        <is>
          <t>Кув</t>
        </is>
      </c>
      <c r="D25" s="215" t="inlineStr">
        <is>
          <t>-</t>
        </is>
      </c>
      <c r="E25" s="216" t="n">
        <v>1</v>
      </c>
      <c r="F25" s="214" t="n"/>
      <c r="G25" s="211" t="n"/>
    </row>
    <row r="26">
      <c r="A26" s="25" t="inlineStr">
        <is>
          <t>1.4</t>
        </is>
      </c>
      <c r="B26" s="214" t="inlineStr">
        <is>
          <t>Средний разряд работ</t>
        </is>
      </c>
      <c r="C26" s="215" t="n"/>
      <c r="D26" s="215" t="n"/>
      <c r="E26" s="217" t="n">
        <v>1</v>
      </c>
      <c r="F26" s="214" t="inlineStr">
        <is>
          <t>РТМ</t>
        </is>
      </c>
      <c r="G26" s="211" t="n"/>
    </row>
    <row r="27" ht="75" customHeight="1" s="209">
      <c r="A27" s="25" t="inlineStr">
        <is>
          <t>1.5</t>
        </is>
      </c>
      <c r="B27" s="214" t="inlineStr">
        <is>
          <t>Тарифный коэффициент среднего разряда работ</t>
        </is>
      </c>
      <c r="C27" s="215" t="inlineStr">
        <is>
          <t>КТ</t>
        </is>
      </c>
      <c r="D27" s="215" t="inlineStr">
        <is>
          <t>-</t>
        </is>
      </c>
      <c r="E27" s="34" t="n">
        <v>1.96</v>
      </c>
      <c r="F27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75" customHeight="1" s="209">
      <c r="A28" s="25" t="inlineStr">
        <is>
          <t>1.6</t>
        </is>
      </c>
      <c r="B28" s="35" t="inlineStr">
        <is>
          <t>Коэффициент инфляции, определяемый поквартально</t>
        </is>
      </c>
      <c r="C28" s="215" t="inlineStr">
        <is>
          <t>Кинф</t>
        </is>
      </c>
      <c r="D28" s="215" t="inlineStr">
        <is>
          <t>-</t>
        </is>
      </c>
      <c r="E28" s="36" t="n">
        <v>1.139</v>
      </c>
      <c r="F28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1" t="n"/>
    </row>
    <row r="29" ht="60" customHeight="1" s="209">
      <c r="A29" s="25" t="inlineStr">
        <is>
          <t>1.7</t>
        </is>
      </c>
      <c r="B29" s="38" t="inlineStr">
        <is>
          <t>Размер средств на оплату труда рабочих-строителей в текущем уровне цен (ФОТи.тек.), руб/чел.-ч</t>
        </is>
      </c>
      <c r="C29" s="215" t="inlineStr">
        <is>
          <t>ФОТр.тек.</t>
        </is>
      </c>
      <c r="D29" s="215" t="inlineStr">
        <is>
          <t>(С1ср/tср*КТ*Т*Кув)*Кинф</t>
        </is>
      </c>
      <c r="E29" s="39">
        <f>((E23*E25/E24)*E27)*E28</f>
        <v/>
      </c>
      <c r="F29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2025-01-24T12:09:37Z</dcterms:modified>
  <cp:lastModifiedBy>REDMIBOOK</cp:lastModifiedBy>
  <cp:lastPrinted>2023-11-29T08:45:54Z</cp:lastPrinted>
</cp:coreProperties>
</file>