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924" firstSheet="3" activeTab="8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стоим'!$A$1:$J$29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'Прил.3'!$A$1:$H$166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ОБ'!$A$1:$J$172</definedName>
    <definedName name="\AUTOEXEC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02121" localSheetId="6">#REF!</definedName>
    <definedName name="_Hlt440565644_1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asd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5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SD_DC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гш" localSheetId="6">#REF!</definedName>
    <definedName name="д" localSheetId="6">#REF!</definedName>
    <definedName name="йцу" localSheetId="6">#REF!</definedName>
    <definedName name="корр" localSheetId="6">{#N/A,#N/A,FALSE,"Шаблон_Спец1"}</definedName>
    <definedName name="Костромская_область" localSheetId="6">#REF!</definedName>
    <definedName name="мил" localSheetId="6">{0,"овz";1,"z";2,"аz";5,"овz"}</definedName>
    <definedName name="мин" localSheetId="6">#REF!</definedName>
    <definedName name="нр" localSheetId="6">#REF!</definedName>
    <definedName name="Нсапк" localSheetId="6">#REF!</definedName>
    <definedName name="Нсстр" localSheetId="6">#REF!</definedName>
    <definedName name="Область_печати_ИМ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С" localSheetId="6">{#N/A,#N/A,FALSE,"Шаблон_Спец1"}</definedName>
    <definedName name="с1" localSheetId="6">#REF!</definedName>
    <definedName name="т" localSheetId="6">#REF!</definedName>
    <definedName name="тыс" localSheetId="6">{0,"тысячz";1,"тысячаz";2,"тысячиz";5,"тысячz"}</definedName>
    <definedName name="тьбю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_-* #,##0.00_-;\-* #,##0.00_-;_-* &quot;-&quot;??_-;_-@_-"/>
    <numFmt numFmtId="166" formatCode="#,##0.0"/>
    <numFmt numFmtId="167" formatCode="#,##0.000"/>
    <numFmt numFmtId="168" formatCode="0.0000"/>
    <numFmt numFmtId="169" formatCode="#,##0.0000"/>
    <numFmt numFmtId="170" formatCode="_-* #,##0.00\ _₽_-;\-* #,##0.00\ _₽_-;_-* &quot;-&quot;??\ _₽_-;_-@_-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56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165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7" fillId="0" borderId="0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166" fontId="16" fillId="0" borderId="1" applyAlignment="1" pivotButton="0" quotePrefix="0" xfId="0">
      <alignment horizontal="center" vertical="center"/>
    </xf>
    <xf numFmtId="167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8" fontId="16" fillId="4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0" fontId="18" fillId="0" borderId="1" applyAlignment="1" pivotButton="0" quotePrefix="0" xfId="0">
      <alignment vertical="center" wrapText="1"/>
    </xf>
    <xf numFmtId="4" fontId="18" fillId="0" borderId="1" applyAlignment="1" pivotButton="0" quotePrefix="0" xfId="0">
      <alignment horizontal="center" vertical="center"/>
    </xf>
    <xf numFmtId="0" fontId="19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9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8" fontId="1" fillId="0" borderId="1" applyAlignment="1" pivotButton="0" quotePrefix="0" xfId="0">
      <alignment horizontal="center" vertical="center" wrapText="1"/>
    </xf>
    <xf numFmtId="10" fontId="20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9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0" applyAlignment="1" pivotButton="0" quotePrefix="0" xfId="0">
      <alignment vertical="center" wrapText="1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21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21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18" fillId="0" borderId="0" pivotButton="0" quotePrefix="0" xfId="0"/>
    <xf numFmtId="4" fontId="18" fillId="0" borderId="1" applyAlignment="1" pivotButton="0" quotePrefix="0" xfId="0">
      <alignment vertical="top"/>
    </xf>
    <xf numFmtId="0" fontId="18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10" fontId="1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165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4" fontId="21" fillId="0" borderId="0" applyAlignment="1" pivotButton="0" quotePrefix="0" xfId="0">
      <alignment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0" fontId="19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justify" vertical="center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165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65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0" fontId="22" fillId="0" borderId="0" applyAlignment="1" pivotButton="0" quotePrefix="0" xfId="0">
      <alignment horizontal="center" vertical="center"/>
    </xf>
    <xf numFmtId="2" fontId="16" fillId="0" borderId="0" pivotButton="0" quotePrefix="0" xfId="0"/>
    <xf numFmtId="10" fontId="16" fillId="0" borderId="0" pivotButton="0" quotePrefix="0" xfId="0"/>
    <xf numFmtId="10" fontId="0" fillId="0" borderId="0" pivotButton="0" quotePrefix="0" xfId="0"/>
    <xf numFmtId="4" fontId="1" fillId="0" borderId="0" applyAlignment="1" pivotButton="0" quotePrefix="0" xfId="0">
      <alignment vertical="top"/>
    </xf>
    <xf numFmtId="10" fontId="1" fillId="0" borderId="1" applyAlignment="1" pivotButton="0" quotePrefix="0" xfId="0">
      <alignment horizontal="right" vertical="center" wrapText="1"/>
    </xf>
    <xf numFmtId="168" fontId="1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top" wrapText="1"/>
    </xf>
    <xf numFmtId="0" fontId="1" fillId="0" borderId="0" pivotButton="0" quotePrefix="0" xfId="0"/>
    <xf numFmtId="0" fontId="0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right"/>
    </xf>
    <xf numFmtId="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49" fontId="16" fillId="0" borderId="1" applyAlignment="1" pivotButton="0" quotePrefix="0" xfId="0">
      <alignment vertical="center" wrapText="1"/>
    </xf>
    <xf numFmtId="0" fontId="16" fillId="0" borderId="1" applyAlignment="1" pivotButton="0" quotePrefix="0" xfId="0">
      <alignment vertical="center" wrapText="1"/>
    </xf>
    <xf numFmtId="2" fontId="16" fillId="0" borderId="1" applyAlignment="1" pivotButton="0" quotePrefix="0" xfId="0">
      <alignment vertical="center" wrapText="1"/>
    </xf>
    <xf numFmtId="2" fontId="18" fillId="0" borderId="4" applyAlignment="1" pivotButton="0" quotePrefix="0" xfId="0">
      <alignment vertical="center" wrapText="1"/>
    </xf>
    <xf numFmtId="2" fontId="18" fillId="0" borderId="1" applyAlignment="1" pivotButton="0" quotePrefix="0" xfId="0">
      <alignment vertical="center" wrapText="1"/>
    </xf>
    <xf numFmtId="14" fontId="16" fillId="0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wrapText="1"/>
    </xf>
    <xf numFmtId="0" fontId="1" fillId="0" borderId="1" applyAlignment="1" pivotButton="0" quotePrefix="0" xfId="0">
      <alignment horizontal="left" vertical="top" wrapText="1"/>
    </xf>
    <xf numFmtId="49" fontId="1" fillId="4" borderId="1" applyAlignment="1" pivotButton="0" quotePrefix="0" xfId="0">
      <alignment horizontal="center" wrapText="1"/>
    </xf>
    <xf numFmtId="0" fontId="1" fillId="4" borderId="1" applyAlignment="1" pivotButton="0" quotePrefix="0" xfId="0">
      <alignment horizontal="center" wrapText="1"/>
    </xf>
    <xf numFmtId="170" fontId="0" fillId="0" borderId="0" pivotButton="0" quotePrefix="0" xfId="0"/>
    <xf numFmtId="2" fontId="1" fillId="0" borderId="1" applyAlignment="1" pivotButton="0" quotePrefix="0" xfId="0">
      <alignment horizontal="center" vertical="top" wrapText="1"/>
    </xf>
    <xf numFmtId="0" fontId="1" fillId="4" borderId="1" applyAlignment="1" pivotButton="0" quotePrefix="0" xfId="0">
      <alignment vertical="top" wrapText="1"/>
    </xf>
    <xf numFmtId="0" fontId="1" fillId="4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4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8" fillId="0" borderId="0" applyAlignment="1" pivotButton="0" quotePrefix="0" xfId="0">
      <alignment horizontal="right"/>
    </xf>
    <xf numFmtId="0" fontId="1" fillId="0" borderId="0" pivotButton="0" quotePrefix="0" xfId="0"/>
    <xf numFmtId="0" fontId="4" fillId="0" borderId="0" pivotButton="0" quotePrefix="0" xfId="0"/>
    <xf numFmtId="0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vertical="center" wrapText="1"/>
    </xf>
    <xf numFmtId="168" fontId="1" fillId="4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top"/>
    </xf>
    <xf numFmtId="0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0" fontId="1" fillId="0" borderId="4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9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8" fillId="0" borderId="4" applyAlignment="1" pivotButton="0" quotePrefix="0" xfId="0">
      <alignment horizontal="right" vertical="center" wrapText="1"/>
    </xf>
    <xf numFmtId="0" fontId="18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left" vertical="center"/>
    </xf>
    <xf numFmtId="0" fontId="16" fillId="0" borderId="4" applyAlignment="1" pivotButton="0" quotePrefix="0" xfId="0">
      <alignment horizontal="center" vertical="center" wrapText="1"/>
    </xf>
    <xf numFmtId="0" fontId="18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10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left" vertical="center" wrapText="1"/>
    </xf>
    <xf numFmtId="0" fontId="2" fillId="0" borderId="9" applyAlignment="1" pivotButton="0" quotePrefix="0" xfId="0">
      <alignment horizontal="left" vertical="center" wrapText="1"/>
    </xf>
    <xf numFmtId="0" fontId="2" fillId="0" borderId="1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1" fillId="0" borderId="1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11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1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9" applyAlignment="1" pivotButton="0" quotePrefix="0" xfId="0">
      <alignment horizontal="center" vertical="center" wrapText="1"/>
    </xf>
    <xf numFmtId="0" fontId="0" fillId="4" borderId="10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1" pivotButton="0" quotePrefix="0" xfId="0"/>
    <xf numFmtId="0" fontId="0" fillId="0" borderId="4" pivotButton="0" quotePrefix="0" xfId="0"/>
    <xf numFmtId="0" fontId="0" fillId="0" borderId="14" pivotButton="0" quotePrefix="0" xfId="0"/>
    <xf numFmtId="0" fontId="0" fillId="0" borderId="15" pivotButton="0" quotePrefix="0" xfId="0"/>
    <xf numFmtId="170" fontId="0" fillId="0" borderId="0" pivotButton="0" quotePrefix="0" xfId="0"/>
    <xf numFmtId="0" fontId="0" fillId="0" borderId="7" pivotButton="0" quotePrefix="0" xfId="0"/>
    <xf numFmtId="0" fontId="0" fillId="0" borderId="8" pivotButton="0" quotePrefix="0" xfId="0"/>
  </cellXfs>
  <cellStyles count="1">
    <cellStyle name="Обычный" xfId="0" builtinId="0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10" zoomScale="60" zoomScaleNormal="70" workbookViewId="0">
      <selection activeCell="D27" sqref="D27"/>
    </sheetView>
  </sheetViews>
  <sheetFormatPr baseColWidth="8" defaultColWidth="9.140625" defaultRowHeight="15.75"/>
  <cols>
    <col width="9.140625" customWidth="1" style="333" min="1" max="2"/>
    <col width="51.7109375" customWidth="1" style="333" min="3" max="3"/>
    <col width="47" customWidth="1" style="333" min="4" max="4"/>
    <col width="37.42578125" customWidth="1" style="333" min="5" max="5"/>
    <col width="9.140625" customWidth="1" style="333" min="6" max="6"/>
  </cols>
  <sheetData>
    <row r="3">
      <c r="B3" s="353" t="inlineStr">
        <is>
          <t>Приложение № 1</t>
        </is>
      </c>
    </row>
    <row r="4">
      <c r="B4" s="354" t="inlineStr">
        <is>
          <t>Сравнительная таблица отбора объекта-представителя</t>
        </is>
      </c>
    </row>
    <row r="5" ht="84" customHeight="1" s="296">
      <c r="B5" s="356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96">
      <c r="B6" s="272" t="n"/>
      <c r="C6" s="272" t="n"/>
      <c r="D6" s="272" t="n"/>
    </row>
    <row r="7" ht="64.5" customHeight="1" s="296">
      <c r="B7" s="355" t="inlineStr">
        <is>
          <t>Наименование разрабатываемого показателя УНЦ — Строительно-монтажные работы ВЛ 0,4-750 кВ без опор и провода. Двухцепная, многогранные опоры 330 кВ.</t>
        </is>
      </c>
    </row>
    <row r="8" ht="31.5" customHeight="1" s="296">
      <c r="B8" s="355" t="inlineStr">
        <is>
          <t>Сопоставимый уровень цен: 2 кв. 2017 г.</t>
        </is>
      </c>
    </row>
    <row r="9" ht="15.75" customHeight="1" s="296">
      <c r="B9" s="355" t="inlineStr">
        <is>
          <t>Единица измерения  — 1 км</t>
        </is>
      </c>
    </row>
    <row r="10">
      <c r="B10" s="355" t="n"/>
    </row>
    <row r="11">
      <c r="B11" s="362" t="inlineStr">
        <is>
          <t>№ п/п</t>
        </is>
      </c>
      <c r="C11" s="362" t="inlineStr">
        <is>
          <t>Параметр</t>
        </is>
      </c>
      <c r="D11" s="362" t="inlineStr">
        <is>
          <t xml:space="preserve">Объект-представитель </t>
        </is>
      </c>
      <c r="E11" s="247" t="n"/>
    </row>
    <row r="12" ht="96.75" customHeight="1" s="296">
      <c r="B12" s="362" t="n">
        <v>1</v>
      </c>
      <c r="C12" s="305" t="inlineStr">
        <is>
          <t>Наименование объекта-представителя</t>
        </is>
      </c>
      <c r="D12" s="362" t="inlineStr">
        <is>
          <t>Строительство КВЛ 330 кВ Ленинградская АЭС - 2 - Пулковская - Южная</t>
        </is>
      </c>
    </row>
    <row r="13">
      <c r="B13" s="362" t="n">
        <v>2</v>
      </c>
      <c r="C13" s="305" t="inlineStr">
        <is>
          <t>Наименование субъекта Российской Федерации</t>
        </is>
      </c>
      <c r="D13" s="362" t="inlineStr">
        <is>
          <t>Ленинградская область</t>
        </is>
      </c>
    </row>
    <row r="14">
      <c r="B14" s="362" t="n">
        <v>3</v>
      </c>
      <c r="C14" s="305" t="inlineStr">
        <is>
          <t>Климатический район и подрайон</t>
        </is>
      </c>
      <c r="D14" s="362" t="inlineStr">
        <is>
          <t>IIВ</t>
        </is>
      </c>
    </row>
    <row r="15">
      <c r="B15" s="362" t="n">
        <v>4</v>
      </c>
      <c r="C15" s="305" t="inlineStr">
        <is>
          <t>Мощность объекта</t>
        </is>
      </c>
      <c r="D15" s="362" t="n">
        <v>25.65</v>
      </c>
    </row>
    <row r="16" ht="116.25" customHeight="1" s="296">
      <c r="B16" s="362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62" t="inlineStr">
        <is>
          <t xml:space="preserve">Установка сборных железобетонных неразъемных подножников под анкерно-угловые опоры - 277,6 м3
фундамент Ф1100.14.98-ФЛ - 71 шт;
</t>
        </is>
      </c>
    </row>
    <row r="17" ht="79.5" customHeight="1" s="296">
      <c r="B17" s="362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56">
        <f>SUM(D18:D21)</f>
        <v/>
      </c>
      <c r="E17" s="270" t="n"/>
    </row>
    <row r="18">
      <c r="B18" s="246" t="inlineStr">
        <is>
          <t>6.1</t>
        </is>
      </c>
      <c r="C18" s="305" t="inlineStr">
        <is>
          <t>строительно-монтажные работы</t>
        </is>
      </c>
      <c r="D18" s="256">
        <f>156364.73</f>
        <v/>
      </c>
    </row>
    <row r="19" ht="15.75" customHeight="1" s="296">
      <c r="B19" s="246" t="inlineStr">
        <is>
          <t>6.2</t>
        </is>
      </c>
      <c r="C19" s="305" t="inlineStr">
        <is>
          <t>оборудование и инвентарь</t>
        </is>
      </c>
      <c r="D19" s="256" t="n">
        <v>0</v>
      </c>
    </row>
    <row r="20" ht="16.5" customHeight="1" s="296">
      <c r="B20" s="246" t="inlineStr">
        <is>
          <t>6.3</t>
        </is>
      </c>
      <c r="C20" s="305" t="inlineStr">
        <is>
          <t>пусконаладочные работы</t>
        </is>
      </c>
      <c r="D20" s="256" t="n">
        <v>0</v>
      </c>
    </row>
    <row r="21" ht="35.25" customHeight="1" s="296">
      <c r="B21" s="246" t="inlineStr">
        <is>
          <t>6.4</t>
        </is>
      </c>
      <c r="C21" s="245" t="inlineStr">
        <is>
          <t>прочие и лимитированные затраты</t>
        </is>
      </c>
      <c r="D21" s="256">
        <f>D18*3.3%+(D18+D18*3.3%)*1%</f>
        <v/>
      </c>
    </row>
    <row r="22">
      <c r="B22" s="362" t="n">
        <v>7</v>
      </c>
      <c r="C22" s="245" t="inlineStr">
        <is>
          <t>Сопоставимый уровень цен</t>
        </is>
      </c>
      <c r="D22" s="309" t="inlineStr">
        <is>
          <t>2 кв. 2017 г.</t>
        </is>
      </c>
      <c r="E22" s="243" t="n"/>
    </row>
    <row r="23" ht="123" customHeight="1" s="296">
      <c r="B23" s="362" t="n">
        <v>8</v>
      </c>
      <c r="C23" s="244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56">
        <f>D17/6.29*7.7</f>
        <v/>
      </c>
      <c r="E23" s="270" t="n"/>
    </row>
    <row r="24" ht="60.75" customHeight="1" s="296">
      <c r="B24" s="362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256">
        <f>D23/D15</f>
        <v/>
      </c>
      <c r="E24" s="243" t="n"/>
    </row>
    <row r="25" ht="48" customHeight="1" s="296">
      <c r="B25" s="362" t="n">
        <v>10</v>
      </c>
      <c r="C25" s="305" t="inlineStr">
        <is>
          <t>Примечание</t>
        </is>
      </c>
      <c r="D25" s="362" t="n"/>
    </row>
    <row r="26">
      <c r="B26" s="241" t="n"/>
      <c r="C26" s="291" t="n"/>
      <c r="D26" s="291" t="n"/>
    </row>
    <row r="27" ht="37.5" customHeight="1" s="296">
      <c r="B27" s="292" t="n"/>
    </row>
    <row r="28">
      <c r="B28" s="333" t="inlineStr">
        <is>
          <t>Составил ______________________    А.Р. Маркова</t>
        </is>
      </c>
    </row>
    <row r="29">
      <c r="B29" s="292" t="inlineStr">
        <is>
          <t xml:space="preserve">                         (подпись, инициалы, фамилия)</t>
        </is>
      </c>
    </row>
    <row r="31">
      <c r="B31" s="333" t="inlineStr">
        <is>
          <t>Проверил ______________________        А.В. Костянецкая</t>
        </is>
      </c>
    </row>
    <row r="32">
      <c r="B32" s="292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8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3"/>
  <sheetViews>
    <sheetView view="pageBreakPreview" zoomScale="90" zoomScaleNormal="70" workbookViewId="0">
      <selection activeCell="F19" sqref="F19"/>
    </sheetView>
  </sheetViews>
  <sheetFormatPr baseColWidth="8" defaultColWidth="9.140625" defaultRowHeight="15.75"/>
  <cols>
    <col width="5.5703125" customWidth="1" style="333" min="1" max="1"/>
    <col width="9.140625" customWidth="1" style="333" min="2" max="2"/>
    <col width="35.28515625" customWidth="1" style="333" min="3" max="3"/>
    <col width="13.85546875" customWidth="1" style="333" min="4" max="4"/>
    <col width="24.85546875" customWidth="1" style="333" min="5" max="5"/>
    <col width="15.5703125" customWidth="1" style="333" min="6" max="6"/>
    <col width="14.85546875" customWidth="1" style="333" min="7" max="7"/>
    <col width="16.7109375" customWidth="1" style="333" min="8" max="8"/>
    <col width="13" customWidth="1" style="333" min="9" max="10"/>
    <col width="18" customWidth="1" style="333" min="11" max="11"/>
    <col width="9.140625" customWidth="1" style="333" min="12" max="12"/>
  </cols>
  <sheetData>
    <row r="3">
      <c r="B3" s="353" t="inlineStr">
        <is>
          <t>Приложение № 2</t>
        </is>
      </c>
      <c r="K3" s="292" t="n"/>
    </row>
    <row r="4">
      <c r="B4" s="354" t="inlineStr">
        <is>
          <t>Расчет стоимости основных видов работ для выбора объекта-представителя</t>
        </is>
      </c>
    </row>
    <row r="5">
      <c r="B5" s="248" t="n"/>
      <c r="C5" s="248" t="n"/>
      <c r="D5" s="248" t="n"/>
      <c r="E5" s="248" t="n"/>
      <c r="F5" s="248" t="n"/>
      <c r="G5" s="248" t="n"/>
      <c r="H5" s="248" t="n"/>
      <c r="I5" s="248" t="n"/>
      <c r="J5" s="248" t="n"/>
      <c r="K5" s="248" t="n"/>
    </row>
    <row r="6" ht="29.25" customHeight="1" s="296">
      <c r="B6" s="364" t="inlineStr">
        <is>
          <t>Наименование разрабатываемого показателя УНЦ — Строительно-монтажные работы ВЛ 0,4-750 кВ без опор и провода. Двухцепная, многогранные опоры 330 кВ.</t>
        </is>
      </c>
      <c r="K6" s="291" t="n"/>
    </row>
    <row r="7" ht="15.75" customHeight="1" s="296">
      <c r="B7" s="365" t="inlineStr">
        <is>
          <t>Единица измерения  — 1 км</t>
        </is>
      </c>
      <c r="K7" s="292" t="n"/>
    </row>
    <row r="8" ht="18.75" customHeight="1" s="296">
      <c r="B8" s="273" t="n"/>
    </row>
    <row r="9" ht="15.75" customHeight="1" s="296">
      <c r="B9" s="362" t="inlineStr">
        <is>
          <t>№ п/п</t>
        </is>
      </c>
      <c r="C9" s="362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62" t="inlineStr">
        <is>
          <t>Объект-представитель 1</t>
        </is>
      </c>
      <c r="E9" s="447" t="n"/>
      <c r="F9" s="447" t="n"/>
      <c r="G9" s="447" t="n"/>
      <c r="H9" s="447" t="n"/>
      <c r="I9" s="447" t="n"/>
      <c r="J9" s="448" t="n"/>
    </row>
    <row r="10" ht="15.75" customHeight="1" s="296">
      <c r="B10" s="449" t="n"/>
      <c r="C10" s="449" t="n"/>
      <c r="D10" s="362" t="inlineStr">
        <is>
          <t>Номер сметы</t>
        </is>
      </c>
      <c r="E10" s="362" t="inlineStr">
        <is>
          <t>Наименование сметы</t>
        </is>
      </c>
      <c r="F10" s="362" t="inlineStr">
        <is>
          <t>Сметная стоимость в уровне цен 2 кв. 2017г., тыс. руб.</t>
        </is>
      </c>
      <c r="G10" s="447" t="n"/>
      <c r="H10" s="447" t="n"/>
      <c r="I10" s="447" t="n"/>
      <c r="J10" s="448" t="n"/>
    </row>
    <row r="11" ht="78" customHeight="1" s="296">
      <c r="B11" s="450" t="n"/>
      <c r="C11" s="450" t="n"/>
      <c r="D11" s="450" t="n"/>
      <c r="E11" s="450" t="n"/>
      <c r="F11" s="363" t="inlineStr">
        <is>
          <t>Строительные работы</t>
        </is>
      </c>
      <c r="G11" s="363" t="inlineStr">
        <is>
          <t>Монтажные работы</t>
        </is>
      </c>
      <c r="H11" s="363" t="inlineStr">
        <is>
          <t>Оборудование</t>
        </is>
      </c>
      <c r="I11" s="363" t="inlineStr">
        <is>
          <t>Прочее</t>
        </is>
      </c>
      <c r="J11" s="363" t="inlineStr">
        <is>
          <t>Всего</t>
        </is>
      </c>
    </row>
    <row r="12" ht="58.9" customHeight="1" s="296">
      <c r="B12" s="362" t="n">
        <v>1</v>
      </c>
      <c r="C12" s="362" t="inlineStr">
        <is>
          <t xml:space="preserve">Установка сборных железобетонных неразъемных подножников под анкерно-угловые опоры - 277,6 м3
фундамент Ф1100.14.98-ФЛ - 71 шт;
</t>
        </is>
      </c>
      <c r="D12" s="304" t="inlineStr">
        <is>
          <t>02-02-01</t>
        </is>
      </c>
      <c r="E12" s="305" t="inlineStr">
        <is>
          <t xml:space="preserve"> Строительные работы по ВЛ 330кВ (Гатчинский район)</t>
        </is>
      </c>
      <c r="F12" s="306">
        <f>13888249*6.29/1000</f>
        <v/>
      </c>
      <c r="G12" s="306" t="n"/>
      <c r="H12" s="306" t="n"/>
      <c r="I12" s="306" t="n"/>
      <c r="J12" s="306">
        <f>SUM(F12:I12)</f>
        <v/>
      </c>
    </row>
    <row r="13" ht="70.90000000000001" customHeight="1" s="296">
      <c r="B13" s="450" t="n"/>
      <c r="C13" s="450" t="n"/>
      <c r="D13" s="304" t="inlineStr">
        <is>
          <t>02-02-02</t>
        </is>
      </c>
      <c r="E13" s="305" t="inlineStr">
        <is>
          <t xml:space="preserve"> Монтажные работы по ВЛ 330 кВ (Гатчинский район)  </t>
        </is>
      </c>
      <c r="F13" s="306">
        <f>10971008*6.29/1000</f>
        <v/>
      </c>
      <c r="G13" s="306" t="n"/>
      <c r="H13" s="306" t="n"/>
      <c r="I13" s="306" t="n"/>
      <c r="J13" s="306">
        <f>SUM(F13:I13)</f>
        <v/>
      </c>
    </row>
    <row r="14" ht="15.75" customHeight="1" s="296">
      <c r="B14" s="360" t="inlineStr">
        <is>
          <t>Всего по объекту:</t>
        </is>
      </c>
      <c r="C14" s="451" t="n"/>
      <c r="D14" s="451" t="n"/>
      <c r="E14" s="452" t="n"/>
      <c r="F14" s="307">
        <f>SUM(F12:F13)</f>
        <v/>
      </c>
      <c r="G14" s="307" t="n"/>
      <c r="H14" s="307" t="n"/>
      <c r="I14" s="307" t="n"/>
      <c r="J14" s="306">
        <f>SUM(F14:I14)</f>
        <v/>
      </c>
    </row>
    <row r="15">
      <c r="B15" s="361" t="inlineStr">
        <is>
          <t>Всего по объекту в сопоставимом уровне цен 2 кв. 2017г:</t>
        </is>
      </c>
      <c r="C15" s="447" t="n"/>
      <c r="D15" s="447" t="n"/>
      <c r="E15" s="448" t="n"/>
      <c r="F15" s="308">
        <f>F14</f>
        <v/>
      </c>
      <c r="G15" s="308" t="n"/>
      <c r="H15" s="308" t="n"/>
      <c r="I15" s="308" t="n"/>
      <c r="J15" s="306">
        <f>SUM(F15:I15)</f>
        <v/>
      </c>
    </row>
    <row r="16" ht="15" customHeight="1" s="296"/>
    <row r="17" ht="15" customHeight="1" s="296"/>
    <row r="18" ht="15" customHeight="1" s="296"/>
    <row r="19" ht="15" customHeight="1" s="296">
      <c r="C19" s="334" t="inlineStr">
        <is>
          <t>Составил ______________________     А.Р. Маркова</t>
        </is>
      </c>
      <c r="D19" s="329" t="n"/>
      <c r="E19" s="329" t="n"/>
    </row>
    <row r="20" ht="15" customHeight="1" s="296">
      <c r="C20" s="299" t="inlineStr">
        <is>
          <t xml:space="preserve">                         (подпись, инициалы, фамилия)</t>
        </is>
      </c>
      <c r="D20" s="329" t="n"/>
      <c r="E20" s="329" t="n"/>
    </row>
    <row r="21" ht="15" customHeight="1" s="296">
      <c r="C21" s="334" t="n"/>
      <c r="D21" s="329" t="n"/>
      <c r="E21" s="329" t="n"/>
    </row>
    <row r="22" ht="15" customHeight="1" s="296">
      <c r="C22" s="334" t="inlineStr">
        <is>
          <t>Проверил ______________________        А.В. Костянецкая</t>
        </is>
      </c>
      <c r="D22" s="329" t="n"/>
      <c r="E22" s="329" t="n"/>
    </row>
    <row r="23" ht="15" customHeight="1" s="296">
      <c r="C23" s="299" t="inlineStr">
        <is>
          <t xml:space="preserve">                        (подпись, инициалы, фамилия)</t>
        </is>
      </c>
      <c r="D23" s="329" t="n"/>
      <c r="E23" s="329" t="n"/>
    </row>
    <row r="24" ht="15" customHeight="1" s="296"/>
    <row r="25" ht="15" customHeight="1" s="296"/>
    <row r="26" ht="15" customHeight="1" s="296"/>
    <row r="27" ht="15" customHeight="1" s="296"/>
    <row r="28" ht="15" customHeight="1" s="296"/>
    <row r="29" ht="15" customHeight="1" s="296"/>
  </sheetData>
  <mergeCells count="14">
    <mergeCell ref="B7:J7"/>
    <mergeCell ref="B3:J3"/>
    <mergeCell ref="D10:D11"/>
    <mergeCell ref="B4:K4"/>
    <mergeCell ref="D9:J9"/>
    <mergeCell ref="B12:B13"/>
    <mergeCell ref="C12:C13"/>
    <mergeCell ref="F10:J10"/>
    <mergeCell ref="B15:E15"/>
    <mergeCell ref="B9:B11"/>
    <mergeCell ref="C9:C11"/>
    <mergeCell ref="E10:E11"/>
    <mergeCell ref="B6:J6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P165"/>
  <sheetViews>
    <sheetView view="pageBreakPreview" topLeftCell="A79" zoomScale="85" workbookViewId="0">
      <selection activeCell="D169" sqref="D169"/>
    </sheetView>
  </sheetViews>
  <sheetFormatPr baseColWidth="8" defaultColWidth="9.140625" defaultRowHeight="15.75"/>
  <cols>
    <col width="9.140625" customWidth="1" style="333" min="1" max="1"/>
    <col width="12.5703125" customWidth="1" style="333" min="2" max="2"/>
    <col width="22.42578125" customWidth="1" style="333" min="3" max="3"/>
    <col width="49.7109375" customWidth="1" style="333" min="4" max="4"/>
    <col width="10.140625" customWidth="1" style="333" min="5" max="5"/>
    <col width="20.7109375" customWidth="1" style="333" min="6" max="6"/>
    <col width="20" customWidth="1" style="333" min="7" max="7"/>
    <col width="17.7109375" customWidth="1" style="333" min="8" max="8"/>
    <col hidden="1" style="333" min="9" max="10"/>
    <col hidden="1" width="15" customWidth="1" style="333" min="11" max="11"/>
    <col hidden="1" width="9.140625" customWidth="1" style="333" min="12" max="12"/>
    <col width="9.140625" customWidth="1" style="333" min="13" max="13"/>
  </cols>
  <sheetData>
    <row r="2" s="296">
      <c r="A2" s="333" t="n"/>
      <c r="B2" s="333" t="n"/>
      <c r="C2" s="333" t="n"/>
      <c r="D2" s="333" t="n"/>
      <c r="E2" s="333" t="n"/>
      <c r="F2" s="333" t="n"/>
      <c r="G2" s="333" t="n"/>
      <c r="H2" s="333" t="n"/>
      <c r="I2" s="333" t="n"/>
      <c r="J2" s="333" t="n"/>
      <c r="K2" s="333" t="n"/>
      <c r="L2" s="333" t="n"/>
      <c r="M2" s="333" t="n"/>
    </row>
    <row r="3">
      <c r="A3" s="353" t="inlineStr">
        <is>
          <t xml:space="preserve">Приложение № 3 </t>
        </is>
      </c>
    </row>
    <row r="4">
      <c r="A4" s="354" t="inlineStr">
        <is>
          <t>Объектная ресурсная ведомость</t>
        </is>
      </c>
    </row>
    <row r="5" ht="18.75" customHeight="1" s="296">
      <c r="A5" s="284" t="n"/>
      <c r="B5" s="284" t="n"/>
      <c r="C5" s="370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6">
      <c r="A6" s="355" t="n"/>
    </row>
    <row r="7">
      <c r="A7" s="365" t="inlineStr">
        <is>
          <t>Наименование разрабатываемого показателя УНЦ — Строительно-монтажные работы ВЛ 0,4-750 кВ без опор и провода. Двухцепная, многогранные опоры 330 кВ.</t>
        </is>
      </c>
    </row>
    <row r="8">
      <c r="A8" s="365" t="n"/>
      <c r="B8" s="365" t="n"/>
      <c r="C8" s="365" t="n"/>
      <c r="D8" s="365" t="n"/>
      <c r="E8" s="365" t="n"/>
      <c r="F8" s="365" t="n"/>
      <c r="G8" s="365" t="n"/>
      <c r="H8" s="365" t="n"/>
    </row>
    <row r="9" ht="38.25" customHeight="1" s="296">
      <c r="A9" s="362" t="inlineStr">
        <is>
          <t>п/п</t>
        </is>
      </c>
      <c r="B9" s="362" t="inlineStr">
        <is>
          <t>№ЛСР</t>
        </is>
      </c>
      <c r="C9" s="362" t="inlineStr">
        <is>
          <t>Код ресурса</t>
        </is>
      </c>
      <c r="D9" s="362" t="inlineStr">
        <is>
          <t>Наименование ресурса</t>
        </is>
      </c>
      <c r="E9" s="362" t="inlineStr">
        <is>
          <t>Ед. изм.</t>
        </is>
      </c>
      <c r="F9" s="362" t="inlineStr">
        <is>
          <t>Кол-во единиц по данным объекта-представителя</t>
        </is>
      </c>
      <c r="G9" s="362" t="inlineStr">
        <is>
          <t>Сметная стоимость в ценах на 01.01.2000 (руб.)</t>
        </is>
      </c>
      <c r="H9" s="448" t="n"/>
    </row>
    <row r="10" ht="40.5" customHeight="1" s="296">
      <c r="A10" s="450" t="n"/>
      <c r="B10" s="450" t="n"/>
      <c r="C10" s="450" t="n"/>
      <c r="D10" s="450" t="n"/>
      <c r="E10" s="450" t="n"/>
      <c r="F10" s="450" t="n"/>
      <c r="G10" s="362" t="inlineStr">
        <is>
          <t>на ед.изм.</t>
        </is>
      </c>
      <c r="H10" s="362" t="inlineStr">
        <is>
          <t>общая</t>
        </is>
      </c>
    </row>
    <row r="11">
      <c r="A11" s="363" t="n">
        <v>1</v>
      </c>
      <c r="B11" s="363" t="n"/>
      <c r="C11" s="363" t="n">
        <v>2</v>
      </c>
      <c r="D11" s="363" t="inlineStr">
        <is>
          <t>З</t>
        </is>
      </c>
      <c r="E11" s="363" t="n">
        <v>4</v>
      </c>
      <c r="F11" s="363" t="n">
        <v>5</v>
      </c>
      <c r="G11" s="363" t="n">
        <v>6</v>
      </c>
      <c r="H11" s="363" t="n">
        <v>7</v>
      </c>
    </row>
    <row r="12" customFormat="1" s="251">
      <c r="A12" s="367" t="inlineStr">
        <is>
          <t>Затраты труда рабочих</t>
        </is>
      </c>
      <c r="B12" s="447" t="n"/>
      <c r="C12" s="447" t="n"/>
      <c r="D12" s="447" t="n"/>
      <c r="E12" s="448" t="n"/>
      <c r="F12" s="277">
        <f>SUM(F13:F28)</f>
        <v/>
      </c>
      <c r="G12" s="278" t="n"/>
      <c r="H12" s="277">
        <f>SUM(H13:H28)</f>
        <v/>
      </c>
    </row>
    <row r="13">
      <c r="A13" s="279" t="n">
        <v>1</v>
      </c>
      <c r="B13" s="254" t="n"/>
      <c r="C13" s="312" t="inlineStr">
        <is>
          <t>1-3-0</t>
        </is>
      </c>
      <c r="D13" s="311" t="inlineStr">
        <is>
          <t>Затраты труда рабочих (средний разряд работы 3,0)</t>
        </is>
      </c>
      <c r="E13" s="313" t="inlineStr">
        <is>
          <t>чел.-ч</t>
        </is>
      </c>
      <c r="F13" s="313" t="n">
        <v>14029.69534776</v>
      </c>
      <c r="G13" s="310" t="n">
        <v>8.529999999999999</v>
      </c>
      <c r="H13" s="276">
        <f>ROUND(F13*G13,2)</f>
        <v/>
      </c>
      <c r="I13" s="333" t="n">
        <v>4</v>
      </c>
      <c r="J13" s="333">
        <f>I13*F13</f>
        <v/>
      </c>
      <c r="P13" s="453" t="n"/>
    </row>
    <row r="14">
      <c r="A14" s="402" t="n">
        <v>2</v>
      </c>
      <c r="B14" s="254" t="n"/>
      <c r="C14" s="312" t="inlineStr">
        <is>
          <t>1-3-6</t>
        </is>
      </c>
      <c r="D14" s="311" t="inlineStr">
        <is>
          <t>Затраты труда рабочих (средний разряд работы 3,6)</t>
        </is>
      </c>
      <c r="E14" s="313" t="inlineStr">
        <is>
          <t>чел.-ч</t>
        </is>
      </c>
      <c r="F14" s="313" t="n">
        <v>4518.59</v>
      </c>
      <c r="G14" s="310" t="n">
        <v>9.18</v>
      </c>
      <c r="H14" s="276">
        <f>ROUND(F14*G14,2)</f>
        <v/>
      </c>
      <c r="I14" s="333" t="n">
        <v>4.2</v>
      </c>
      <c r="J14" s="333">
        <f>I14*F14</f>
        <v/>
      </c>
    </row>
    <row r="15">
      <c r="A15" s="279" t="n">
        <v>3</v>
      </c>
      <c r="B15" s="254" t="n"/>
      <c r="C15" s="312" t="inlineStr">
        <is>
          <t>1-4-8</t>
        </is>
      </c>
      <c r="D15" s="311" t="inlineStr">
        <is>
          <t>Затраты труда рабочих (средний разряд работы 4,8)</t>
        </is>
      </c>
      <c r="E15" s="313" t="inlineStr">
        <is>
          <t>чел.-ч</t>
        </is>
      </c>
      <c r="F15" s="313" t="n">
        <v>3318.74072</v>
      </c>
      <c r="G15" s="310" t="n">
        <v>10.79</v>
      </c>
      <c r="H15" s="276">
        <f>ROUND(F15*G15,2)</f>
        <v/>
      </c>
      <c r="I15" s="333" t="n">
        <v>4.8</v>
      </c>
      <c r="J15" s="333">
        <f>I15*F15</f>
        <v/>
      </c>
    </row>
    <row r="16">
      <c r="A16" s="402" t="n">
        <v>4</v>
      </c>
      <c r="B16" s="254" t="n"/>
      <c r="C16" s="312" t="inlineStr">
        <is>
          <t>1-4-1</t>
        </is>
      </c>
      <c r="D16" s="311" t="inlineStr">
        <is>
          <t>Затраты труда рабочих (средний разряд работы 4,1)</t>
        </is>
      </c>
      <c r="E16" s="313" t="inlineStr">
        <is>
          <t>чел.-ч</t>
        </is>
      </c>
      <c r="F16" s="313" t="n">
        <v>2965.731648</v>
      </c>
      <c r="G16" s="310" t="n">
        <v>9.76</v>
      </c>
      <c r="H16" s="276">
        <f>ROUND(F16*G16,2)</f>
        <v/>
      </c>
      <c r="I16" s="333" t="n">
        <v>4.9</v>
      </c>
      <c r="J16" s="333">
        <f>I16*F16</f>
        <v/>
      </c>
    </row>
    <row r="17">
      <c r="A17" s="279" t="n">
        <v>5</v>
      </c>
      <c r="B17" s="254" t="n"/>
      <c r="C17" s="312" t="inlineStr">
        <is>
          <t>1-3-5</t>
        </is>
      </c>
      <c r="D17" s="311" t="inlineStr">
        <is>
          <t>Затраты труда рабочих (средний разряд работы 3,5)</t>
        </is>
      </c>
      <c r="E17" s="313" t="inlineStr">
        <is>
          <t>чел.-ч</t>
        </is>
      </c>
      <c r="F17" s="313" t="n">
        <v>2744.1675072</v>
      </c>
      <c r="G17" s="310" t="n">
        <v>9.07</v>
      </c>
      <c r="H17" s="276">
        <f>ROUND(F17*G17,2)</f>
        <v/>
      </c>
      <c r="I17" s="333" t="n">
        <v>4.3</v>
      </c>
      <c r="J17" s="333">
        <f>I17*F17</f>
        <v/>
      </c>
    </row>
    <row r="18">
      <c r="A18" s="402" t="n">
        <v>6</v>
      </c>
      <c r="B18" s="254" t="n"/>
      <c r="C18" s="312" t="inlineStr">
        <is>
          <t>1-1-4</t>
        </is>
      </c>
      <c r="D18" s="311" t="inlineStr">
        <is>
          <t>Затраты труда рабочих (средний разряд работы 1,4)</t>
        </is>
      </c>
      <c r="E18" s="313" t="inlineStr">
        <is>
          <t>чел.-ч</t>
        </is>
      </c>
      <c r="F18" s="313" t="n">
        <v>1717.301292</v>
      </c>
      <c r="G18" s="310" t="n">
        <v>7.5</v>
      </c>
      <c r="H18" s="276">
        <f>ROUND(F18*G18,2)</f>
        <v/>
      </c>
      <c r="I18" s="333" t="n">
        <v>3.9</v>
      </c>
      <c r="J18" s="333">
        <f>I18*F18</f>
        <v/>
      </c>
    </row>
    <row r="19">
      <c r="A19" s="279" t="n">
        <v>7</v>
      </c>
      <c r="B19" s="254" t="n"/>
      <c r="C19" s="312" t="inlineStr">
        <is>
          <t>1-4-0</t>
        </is>
      </c>
      <c r="D19" s="311" t="inlineStr">
        <is>
          <t>Затраты труда рабочих (средний разряд работы 4,0)</t>
        </is>
      </c>
      <c r="E19" s="313" t="inlineStr">
        <is>
          <t>чел.-ч</t>
        </is>
      </c>
      <c r="F19" s="313" t="n">
        <v>1180.41194</v>
      </c>
      <c r="G19" s="310" t="n">
        <v>9.619999999999999</v>
      </c>
      <c r="H19" s="276">
        <f>ROUND(F19*G19,2)</f>
        <v/>
      </c>
      <c r="I19" s="333" t="n">
        <v>5.4</v>
      </c>
      <c r="J19" s="333">
        <f>I19*F19</f>
        <v/>
      </c>
    </row>
    <row r="20">
      <c r="A20" s="402" t="n">
        <v>8</v>
      </c>
      <c r="B20" s="254" t="n"/>
      <c r="C20" s="312" t="inlineStr">
        <is>
          <t>1-3-4</t>
        </is>
      </c>
      <c r="D20" s="311" t="inlineStr">
        <is>
          <t>Затраты труда рабочих (средний разряд работы 3,4)</t>
        </is>
      </c>
      <c r="E20" s="313" t="inlineStr">
        <is>
          <t>чел.-ч</t>
        </is>
      </c>
      <c r="F20" s="313" t="n">
        <v>460.46</v>
      </c>
      <c r="G20" s="310" t="n">
        <v>8.970000000000001</v>
      </c>
      <c r="H20" s="276">
        <f>ROUND(F20*G20,2)</f>
        <v/>
      </c>
      <c r="I20" s="333" t="n">
        <v>3.6</v>
      </c>
      <c r="J20" s="333">
        <f>I20*F20</f>
        <v/>
      </c>
    </row>
    <row r="21">
      <c r="A21" s="279" t="n">
        <v>9</v>
      </c>
      <c r="B21" s="254" t="n"/>
      <c r="C21" s="312" t="inlineStr">
        <is>
          <t>1-4-4</t>
        </is>
      </c>
      <c r="D21" s="311" t="inlineStr">
        <is>
          <t>Затраты труда рабочих (средний разряд работы 4,4)</t>
        </is>
      </c>
      <c r="E21" s="313" t="inlineStr">
        <is>
          <t>чел.-ч</t>
        </is>
      </c>
      <c r="F21" s="313" t="n">
        <v>357.12</v>
      </c>
      <c r="G21" s="310" t="n">
        <v>10.21</v>
      </c>
      <c r="H21" s="276">
        <f>ROUND(F21*G21,2)</f>
        <v/>
      </c>
      <c r="I21" s="333" t="n">
        <v>2.5</v>
      </c>
      <c r="J21" s="333">
        <f>I21*F21</f>
        <v/>
      </c>
    </row>
    <row r="22">
      <c r="A22" s="402" t="n">
        <v>10</v>
      </c>
      <c r="B22" s="254" t="n"/>
      <c r="C22" s="312" t="inlineStr">
        <is>
          <t>1-4-9</t>
        </is>
      </c>
      <c r="D22" s="311" t="inlineStr">
        <is>
          <t>Затраты труда рабочих (средний разряд работы 4,9)</t>
        </is>
      </c>
      <c r="E22" s="313" t="inlineStr">
        <is>
          <t>чел.-ч</t>
        </is>
      </c>
      <c r="F22" s="313" t="n">
        <v>225.963408</v>
      </c>
      <c r="G22" s="310" t="n">
        <v>10.94</v>
      </c>
      <c r="H22" s="276">
        <f>ROUND(F22*G22,2)</f>
        <v/>
      </c>
      <c r="I22" s="333" t="n">
        <v>2.7</v>
      </c>
      <c r="J22" s="333">
        <f>I22*F22</f>
        <v/>
      </c>
    </row>
    <row r="23">
      <c r="A23" s="279" t="n">
        <v>11</v>
      </c>
      <c r="B23" s="254" t="n"/>
      <c r="C23" s="312" t="inlineStr">
        <is>
          <t>1-4-3</t>
        </is>
      </c>
      <c r="D23" s="311" t="inlineStr">
        <is>
          <t>Затраты труда рабочих (средний разряд работы 4,3)</t>
        </is>
      </c>
      <c r="E23" s="313" t="inlineStr">
        <is>
          <t>чел.-ч</t>
        </is>
      </c>
      <c r="F23" s="313" t="n">
        <v>148.000424</v>
      </c>
      <c r="G23" s="310" t="n">
        <v>10.06</v>
      </c>
      <c r="H23" s="276">
        <f>ROUND(F23*G23,2)</f>
        <v/>
      </c>
      <c r="I23" s="333" t="n">
        <v>3.8</v>
      </c>
      <c r="J23" s="333">
        <f>I23*F23</f>
        <v/>
      </c>
    </row>
    <row r="24">
      <c r="A24" s="402" t="n">
        <v>12</v>
      </c>
      <c r="B24" s="254" t="n"/>
      <c r="C24" s="312" t="inlineStr">
        <is>
          <t>1-2-0</t>
        </is>
      </c>
      <c r="D24" s="311" t="inlineStr">
        <is>
          <t>Затраты труда рабочих (средний разряд работы 2,0)</t>
        </is>
      </c>
      <c r="E24" s="313" t="inlineStr">
        <is>
          <t>чел.-ч</t>
        </is>
      </c>
      <c r="F24" s="313" t="n">
        <v>176.466816</v>
      </c>
      <c r="G24" s="310" t="n">
        <v>7.8</v>
      </c>
      <c r="H24" s="276">
        <f>ROUND(F24*G24,2)</f>
        <v/>
      </c>
      <c r="I24" s="333" t="n">
        <v>3</v>
      </c>
      <c r="J24" s="333">
        <f>I24*F24</f>
        <v/>
      </c>
    </row>
    <row r="25">
      <c r="A25" s="279" t="n">
        <v>13</v>
      </c>
      <c r="B25" s="254" t="n"/>
      <c r="C25" s="312" t="inlineStr">
        <is>
          <t>1-4-6</t>
        </is>
      </c>
      <c r="D25" s="311" t="inlineStr">
        <is>
          <t>Затраты труда рабочих (средний разряд работы 4,6)</t>
        </is>
      </c>
      <c r="E25" s="313" t="inlineStr">
        <is>
          <t>чел.-ч</t>
        </is>
      </c>
      <c r="F25" s="313" t="n">
        <v>83.1292176</v>
      </c>
      <c r="G25" s="310" t="n">
        <v>10.5</v>
      </c>
      <c r="H25" s="276">
        <f>ROUND(F25*G25,2)</f>
        <v/>
      </c>
      <c r="I25" s="333" t="n">
        <v>4.1</v>
      </c>
      <c r="J25" s="333">
        <f>I25*F25</f>
        <v/>
      </c>
    </row>
    <row r="26">
      <c r="A26" s="402" t="n">
        <v>14</v>
      </c>
      <c r="B26" s="254" t="n"/>
      <c r="C26" s="312" t="inlineStr">
        <is>
          <t>1-2-2</t>
        </is>
      </c>
      <c r="D26" s="311" t="inlineStr">
        <is>
          <t>Затраты труда рабочих (средний разряд работы 2,2)</t>
        </is>
      </c>
      <c r="E26" s="313" t="inlineStr">
        <is>
          <t>чел.-ч</t>
        </is>
      </c>
      <c r="F26" s="313" t="n">
        <v>82.178</v>
      </c>
      <c r="G26" s="310" t="n">
        <v>7.94</v>
      </c>
      <c r="H26" s="276">
        <f>ROUND(F26*G26,2)</f>
        <v/>
      </c>
      <c r="I26" s="333" t="n">
        <v>1.5</v>
      </c>
      <c r="J26" s="333">
        <f>I26*F26</f>
        <v/>
      </c>
    </row>
    <row r="27">
      <c r="A27" s="279" t="n">
        <v>15</v>
      </c>
      <c r="B27" s="254" t="n"/>
      <c r="C27" s="312" t="inlineStr">
        <is>
          <t>1-2-7</t>
        </is>
      </c>
      <c r="D27" s="311" t="inlineStr">
        <is>
          <t>Затраты труда рабочих (средний разряд работы 2,7)</t>
        </is>
      </c>
      <c r="E27" s="313" t="inlineStr">
        <is>
          <t>чел.-ч</t>
        </is>
      </c>
      <c r="F27" s="313" t="n">
        <v>18.233952</v>
      </c>
      <c r="G27" s="310" t="n">
        <v>8.31</v>
      </c>
      <c r="H27" s="276">
        <f>ROUND(F27*G27,2)</f>
        <v/>
      </c>
      <c r="I27" s="333" t="n">
        <v>3.3</v>
      </c>
      <c r="J27" s="333">
        <f>I27*F27</f>
        <v/>
      </c>
    </row>
    <row r="28">
      <c r="A28" s="402" t="n">
        <v>16</v>
      </c>
      <c r="B28" s="254" t="n"/>
      <c r="C28" s="312" t="inlineStr">
        <is>
          <t>1-3-8</t>
        </is>
      </c>
      <c r="D28" s="311" t="inlineStr">
        <is>
          <t>Затраты труда рабочих (средний разряд работы 3,8)</t>
        </is>
      </c>
      <c r="E28" s="313" t="inlineStr">
        <is>
          <t>чел.-ч</t>
        </is>
      </c>
      <c r="F28" s="313" t="n">
        <v>4.465152</v>
      </c>
      <c r="G28" s="310" t="n">
        <v>9.4</v>
      </c>
      <c r="H28" s="276">
        <f>ROUND(F28*G28,2)</f>
        <v/>
      </c>
      <c r="I28" s="333" t="n">
        <v>2</v>
      </c>
      <c r="J28" s="333">
        <f>I28*F28</f>
        <v/>
      </c>
    </row>
    <row r="29" ht="15.75" customHeight="1" s="296">
      <c r="A29" s="367" t="inlineStr">
        <is>
          <t>Затраты труда машинистов</t>
        </is>
      </c>
      <c r="B29" s="447" t="n"/>
      <c r="C29" s="447" t="n"/>
      <c r="D29" s="447" t="n"/>
      <c r="E29" s="448" t="n"/>
      <c r="F29" s="367" t="n"/>
      <c r="G29" s="252" t="n"/>
      <c r="H29" s="277">
        <f>H30</f>
        <v/>
      </c>
    </row>
    <row r="30">
      <c r="A30" s="402" t="n">
        <v>17</v>
      </c>
      <c r="B30" s="368" t="n"/>
      <c r="C30" s="279" t="n">
        <v>2</v>
      </c>
      <c r="D30" s="311" t="inlineStr">
        <is>
          <t>Затраты труда машинистов</t>
        </is>
      </c>
      <c r="E30" s="402" t="inlineStr">
        <is>
          <t>чел.-ч</t>
        </is>
      </c>
      <c r="F30" s="315" t="n">
        <v>6115.01</v>
      </c>
      <c r="G30" s="276" t="n"/>
      <c r="H30" s="282" t="n">
        <v>121881.76</v>
      </c>
      <c r="J30" s="333">
        <f>SUM(J13:J28)</f>
        <v/>
      </c>
    </row>
    <row r="31" customFormat="1" s="251">
      <c r="A31" s="367" t="inlineStr">
        <is>
          <t>Машины и механизмы</t>
        </is>
      </c>
      <c r="B31" s="447" t="n"/>
      <c r="C31" s="447" t="n"/>
      <c r="D31" s="447" t="n"/>
      <c r="E31" s="448" t="n"/>
      <c r="F31" s="367" t="n"/>
      <c r="G31" s="252" t="n"/>
      <c r="H31" s="277">
        <f>SUM(H32:H78)</f>
        <v/>
      </c>
    </row>
    <row r="32">
      <c r="A32" s="402" t="n">
        <v>18</v>
      </c>
      <c r="B32" s="368" t="n"/>
      <c r="C32" s="317" t="inlineStr">
        <is>
          <t>91.06.06-014</t>
        </is>
      </c>
      <c r="D32" s="316" t="inlineStr">
        <is>
          <t>Автогидроподъемники, высота подъема 28 м</t>
        </is>
      </c>
      <c r="E32" s="317" t="inlineStr">
        <is>
          <t>маш.-ч.</t>
        </is>
      </c>
      <c r="F32" s="317" t="n">
        <v>2098.8177236</v>
      </c>
      <c r="G32" s="316" t="n">
        <v>243.49</v>
      </c>
      <c r="H32" s="276">
        <f>ROUND(F32*G32,2)</f>
        <v/>
      </c>
      <c r="I32" s="286">
        <f>H32/$H$31</f>
        <v/>
      </c>
      <c r="J32" s="285">
        <f>J30/F12</f>
        <v/>
      </c>
      <c r="L32" s="286">
        <f>H32/$H$31</f>
        <v/>
      </c>
      <c r="M32" s="286" t="n"/>
    </row>
    <row r="33" ht="25.5" customHeight="1" s="296">
      <c r="A33" s="402" t="n">
        <v>19</v>
      </c>
      <c r="B33" s="368" t="n"/>
      <c r="C33" s="317" t="inlineStr">
        <is>
          <t>91.04.01-077</t>
        </is>
      </c>
      <c r="D33" s="316" t="inlineStr">
        <is>
          <t>Установки и агрегаты буровые на базе автомобилей глубина бурения до 200 м, грузоподъемность до 4 т</t>
        </is>
      </c>
      <c r="E33" s="317" t="inlineStr">
        <is>
          <t>маш.-ч.</t>
        </is>
      </c>
      <c r="F33" s="317" t="n">
        <v>2154.4232627</v>
      </c>
      <c r="G33" s="316" t="n">
        <v>219.85</v>
      </c>
      <c r="H33" s="276">
        <f>ROUND(F33*G33,2)</f>
        <v/>
      </c>
      <c r="I33" s="286">
        <f>H33/$H$31</f>
        <v/>
      </c>
      <c r="J33" s="285" t="n"/>
      <c r="L33" s="286" t="n"/>
      <c r="M33" s="286" t="n"/>
    </row>
    <row r="34" ht="25.5" customHeight="1" s="296">
      <c r="A34" s="402" t="n">
        <v>20</v>
      </c>
      <c r="B34" s="368" t="n"/>
      <c r="C34" s="317" t="inlineStr">
        <is>
          <t>91.05.05-016</t>
        </is>
      </c>
      <c r="D34" s="316" t="inlineStr">
        <is>
          <t>Краны на автомобильном ходу, грузоподъемность 25 т</t>
        </is>
      </c>
      <c r="E34" s="317" t="inlineStr">
        <is>
          <t>маш.-ч.</t>
        </is>
      </c>
      <c r="F34" s="317" t="n">
        <v>992.7688078</v>
      </c>
      <c r="G34" s="316" t="n">
        <v>476.43</v>
      </c>
      <c r="H34" s="276">
        <f>ROUND(F34*G34,2)</f>
        <v/>
      </c>
      <c r="I34" s="286">
        <f>H34/$H$31</f>
        <v/>
      </c>
      <c r="J34" s="285" t="n"/>
      <c r="L34" s="286" t="n"/>
      <c r="M34" s="286" t="n"/>
    </row>
    <row r="35" ht="25.5" customHeight="1" s="296">
      <c r="A35" s="402" t="n">
        <v>21</v>
      </c>
      <c r="B35" s="368" t="n"/>
      <c r="C35" s="317" t="inlineStr">
        <is>
          <t>91.11.02-021</t>
        </is>
      </c>
      <c r="D35" s="316" t="inlineStr">
        <is>
          <t>Комплексы для монтажа проводов методом "под тяжением"</t>
        </is>
      </c>
      <c r="E35" s="317" t="inlineStr">
        <is>
          <t>маш.-ч.</t>
        </is>
      </c>
      <c r="F35" s="317" t="n">
        <v>507.051579</v>
      </c>
      <c r="G35" s="316" t="n">
        <v>637.76</v>
      </c>
      <c r="H35" s="276">
        <f>ROUND(F35*G35,2)</f>
        <v/>
      </c>
      <c r="I35" s="286">
        <f>H35/$H$31</f>
        <v/>
      </c>
      <c r="J35" s="285" t="n"/>
      <c r="L35" s="286" t="n"/>
      <c r="M35" s="286" t="n"/>
    </row>
    <row r="36" ht="25.5" customHeight="1" s="296">
      <c r="A36" s="402" t="n">
        <v>22</v>
      </c>
      <c r="B36" s="368" t="n"/>
      <c r="C36" s="317" t="inlineStr">
        <is>
          <t>91.01.05-085</t>
        </is>
      </c>
      <c r="D36" s="316" t="inlineStr">
        <is>
          <t>Экскаваторы одноковшовые дизельные на гусеничном ходу, емкость ковша 0,5 м3</t>
        </is>
      </c>
      <c r="E36" s="317" t="inlineStr">
        <is>
          <t>маш.-ч.</t>
        </is>
      </c>
      <c r="F36" s="317" t="n">
        <v>2263.9852326</v>
      </c>
      <c r="G36" s="316" t="n">
        <v>100</v>
      </c>
      <c r="H36" s="276">
        <f>ROUND(F36*G36,2)</f>
        <v/>
      </c>
      <c r="I36" s="286">
        <f>H36/$H$31</f>
        <v/>
      </c>
      <c r="J36" s="285" t="n"/>
      <c r="L36" s="286" t="n"/>
      <c r="M36" s="286" t="n"/>
    </row>
    <row r="37" ht="25.5" customHeight="1" s="296">
      <c r="A37" s="402" t="n">
        <v>23</v>
      </c>
      <c r="B37" s="368" t="n"/>
      <c r="C37" s="317" t="inlineStr">
        <is>
          <t>91.15.02-029</t>
        </is>
      </c>
      <c r="D37" s="316" t="inlineStr">
        <is>
          <t>Тракторы на гусеничном ходу с лебедкой 132 кВт (180 л.с.)</t>
        </is>
      </c>
      <c r="E37" s="317" t="inlineStr">
        <is>
          <t>маш.-ч.</t>
        </is>
      </c>
      <c r="F37" s="317" t="n">
        <v>1003.7760784</v>
      </c>
      <c r="G37" s="316" t="n">
        <v>147.43</v>
      </c>
      <c r="H37" s="276">
        <f>ROUND(F37*G37,2)</f>
        <v/>
      </c>
      <c r="I37" s="286">
        <f>H37/$H$31</f>
        <v/>
      </c>
      <c r="J37" s="285" t="n"/>
      <c r="L37" s="286" t="n"/>
      <c r="M37" s="286" t="n"/>
    </row>
    <row r="38" ht="38.25" customHeight="1" s="296">
      <c r="A38" s="402" t="n">
        <v>24</v>
      </c>
      <c r="B38" s="368" t="n"/>
      <c r="C38" s="317" t="inlineStr">
        <is>
          <t>91.18.01-007</t>
        </is>
      </c>
      <c r="D38" s="316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38" s="317" t="inlineStr">
        <is>
          <t>маш.-ч.</t>
        </is>
      </c>
      <c r="F38" s="317" t="n">
        <v>1531.2368161104</v>
      </c>
      <c r="G38" s="316" t="n">
        <v>90</v>
      </c>
      <c r="H38" s="276">
        <f>ROUND(F38*G38,2)</f>
        <v/>
      </c>
      <c r="I38" s="286">
        <f>H38/$H$31</f>
        <v/>
      </c>
      <c r="J38" s="285" t="n"/>
      <c r="L38" s="286" t="n"/>
      <c r="M38" s="286" t="n"/>
    </row>
    <row r="39" ht="25.5" customHeight="1" s="296">
      <c r="A39" s="402" t="n">
        <v>25</v>
      </c>
      <c r="B39" s="368" t="n"/>
      <c r="C39" s="317" t="inlineStr">
        <is>
          <t>91.19.06-011</t>
        </is>
      </c>
      <c r="D39" s="316" t="inlineStr">
        <is>
          <t>Насосы грязевые, подача 23,4-65,3 м3/ч, давление нагнетания 15,7-5,88 МПа (160-60 кгс/см2)</t>
        </is>
      </c>
      <c r="E39" s="317" t="inlineStr">
        <is>
          <t>маш.-ч.</t>
        </is>
      </c>
      <c r="F39" s="317" t="n">
        <v>2011.6385132</v>
      </c>
      <c r="G39" s="316" t="n">
        <v>32.71</v>
      </c>
      <c r="H39" s="276">
        <f>ROUND(F39*G39,2)</f>
        <v/>
      </c>
      <c r="I39" s="286" t="n"/>
      <c r="J39" s="285" t="n"/>
      <c r="K39" s="333" t="n"/>
      <c r="L39" s="286" t="n"/>
      <c r="M39" s="286" t="n"/>
    </row>
    <row r="40" s="296">
      <c r="A40" s="402" t="n">
        <v>26</v>
      </c>
      <c r="B40" s="368" t="n"/>
      <c r="C40" s="317" t="inlineStr">
        <is>
          <t>91.07.08-011</t>
        </is>
      </c>
      <c r="D40" s="316" t="inlineStr">
        <is>
          <t>Глиномешалки, 4 м3</t>
        </is>
      </c>
      <c r="E40" s="317" t="inlineStr">
        <is>
          <t>маш.-ч.</t>
        </is>
      </c>
      <c r="F40" s="317" t="n">
        <v>2011.6385132</v>
      </c>
      <c r="G40" s="316" t="n">
        <v>26.52</v>
      </c>
      <c r="H40" s="276">
        <f>ROUND(F40*G40,2)</f>
        <v/>
      </c>
      <c r="I40" s="286" t="n"/>
      <c r="J40" s="285" t="n"/>
      <c r="K40" s="333" t="n"/>
      <c r="L40" s="286" t="n"/>
      <c r="M40" s="286" t="n"/>
    </row>
    <row r="41" ht="25.5" customHeight="1" s="296">
      <c r="A41" s="402" t="n">
        <v>27</v>
      </c>
      <c r="B41" s="368" t="n"/>
      <c r="C41" s="317" t="inlineStr">
        <is>
          <t>91.05.08-007</t>
        </is>
      </c>
      <c r="D41" s="316" t="inlineStr">
        <is>
          <t>Краны на пневмоколесном ходу, грузоподъемность 25 т</t>
        </is>
      </c>
      <c r="E41" s="317" t="inlineStr">
        <is>
          <t>маш.-ч.</t>
        </is>
      </c>
      <c r="F41" s="317" t="n">
        <v>494.39348</v>
      </c>
      <c r="G41" s="316" t="n">
        <v>102.51</v>
      </c>
      <c r="H41" s="276">
        <f>ROUND(F41*G41,2)</f>
        <v/>
      </c>
      <c r="I41" s="286" t="n"/>
      <c r="J41" s="285" t="n"/>
      <c r="K41" s="333" t="n"/>
      <c r="L41" s="286" t="n"/>
      <c r="M41" s="286" t="n"/>
    </row>
    <row r="42" s="296">
      <c r="A42" s="402" t="n">
        <v>28</v>
      </c>
      <c r="B42" s="368" t="n"/>
      <c r="C42" s="317" t="inlineStr">
        <is>
          <t>91.13.03-111</t>
        </is>
      </c>
      <c r="D42" s="316" t="inlineStr">
        <is>
          <t>Спецавтомобили-вездеходы, грузоподъемность до 8 т</t>
        </is>
      </c>
      <c r="E42" s="317" t="inlineStr">
        <is>
          <t>маш.-ч.</t>
        </is>
      </c>
      <c r="F42" s="317" t="n">
        <v>230.398544</v>
      </c>
      <c r="G42" s="316" t="n">
        <v>189.96</v>
      </c>
      <c r="H42" s="276">
        <f>ROUND(F42*G42,2)</f>
        <v/>
      </c>
      <c r="I42" s="286" t="n"/>
      <c r="J42" s="285" t="n"/>
      <c r="K42" s="333" t="n"/>
      <c r="L42" s="286" t="n"/>
      <c r="M42" s="286" t="n"/>
    </row>
    <row r="43" s="296">
      <c r="A43" s="402" t="n">
        <v>29</v>
      </c>
      <c r="B43" s="368" t="n"/>
      <c r="C43" s="317" t="inlineStr">
        <is>
          <t>91.01.01-034</t>
        </is>
      </c>
      <c r="D43" s="316" t="inlineStr">
        <is>
          <t>Бульдозеры, мощность 59 кВт (80 л.с.)</t>
        </is>
      </c>
      <c r="E43" s="317" t="inlineStr">
        <is>
          <t>маш.-ч.</t>
        </is>
      </c>
      <c r="F43" s="317" t="n">
        <v>662.7712150368</v>
      </c>
      <c r="G43" s="316" t="n">
        <v>59.47</v>
      </c>
      <c r="H43" s="276">
        <f>ROUND(F43*G43,2)</f>
        <v/>
      </c>
      <c r="I43" s="286" t="n"/>
      <c r="J43" s="285" t="n"/>
      <c r="K43" s="333" t="n"/>
      <c r="L43" s="286" t="n"/>
      <c r="M43" s="286" t="n"/>
    </row>
    <row r="44" s="296">
      <c r="A44" s="402" t="n">
        <v>30</v>
      </c>
      <c r="B44" s="368" t="n"/>
      <c r="C44" s="317" t="inlineStr">
        <is>
          <t>91.14.04-002</t>
        </is>
      </c>
      <c r="D44" s="316" t="inlineStr">
        <is>
          <t>Тягачи седельные, грузоподъемность 15 т</t>
        </is>
      </c>
      <c r="E44" s="317" t="inlineStr">
        <is>
          <t>маш.-ч.</t>
        </is>
      </c>
      <c r="F44" s="317" t="n">
        <v>378.515854</v>
      </c>
      <c r="G44" s="316" t="n">
        <v>94.38</v>
      </c>
      <c r="H44" s="276">
        <f>ROUND(F44*G44,2)</f>
        <v/>
      </c>
      <c r="I44" s="286" t="n"/>
      <c r="J44" s="285" t="n"/>
      <c r="K44" s="333" t="n"/>
      <c r="L44" s="286" t="n"/>
      <c r="M44" s="286" t="n"/>
    </row>
    <row r="45" ht="25.5" customHeight="1" s="296">
      <c r="A45" s="402" t="n">
        <v>31</v>
      </c>
      <c r="B45" s="368" t="n"/>
      <c r="C45" s="317" t="inlineStr">
        <is>
          <t>91.19.04-004</t>
        </is>
      </c>
      <c r="D45" s="316" t="inlineStr">
        <is>
          <t>Насосы для нагнетания воды, содержащей твердые частицы, подача 45 м3/ч, напор до 55 м</t>
        </is>
      </c>
      <c r="E45" s="317" t="inlineStr">
        <is>
          <t>маш.-ч.</t>
        </is>
      </c>
      <c r="F45" s="317" t="n">
        <v>2011.6385132</v>
      </c>
      <c r="G45" s="316" t="n">
        <v>9.73</v>
      </c>
      <c r="H45" s="276">
        <f>ROUND(F45*G45,2)</f>
        <v/>
      </c>
      <c r="I45" s="286">
        <f>H45/$H$31</f>
        <v/>
      </c>
      <c r="J45" s="285" t="n"/>
      <c r="L45" s="286" t="n"/>
      <c r="M45" s="286" t="n"/>
      <c r="O45" s="287" t="n"/>
    </row>
    <row r="46" ht="38.25" customHeight="1" s="296">
      <c r="A46" s="402" t="n">
        <v>32</v>
      </c>
      <c r="B46" s="368" t="n"/>
      <c r="C46" s="317" t="inlineStr">
        <is>
          <t>91.05.14-516</t>
        </is>
      </c>
      <c r="D46" s="316" t="inlineStr">
        <is>
          <t>Краны прицепные пневмоколесные на гусеничном тракторе с лебедкой, мощность 132 кВт (180 л.с.), без учета трактора, грузоподъемность 25 т</t>
        </is>
      </c>
      <c r="E46" s="317" t="inlineStr">
        <is>
          <t>маш.-ч.</t>
        </is>
      </c>
      <c r="F46" s="317" t="n">
        <v>224.303712</v>
      </c>
      <c r="G46" s="316" t="n">
        <v>77.64</v>
      </c>
      <c r="H46" s="276">
        <f>ROUND(F46*G46,2)</f>
        <v/>
      </c>
      <c r="I46" s="286">
        <f>H46/$H$31</f>
        <v/>
      </c>
      <c r="J46" s="285" t="n"/>
      <c r="L46" s="286" t="n"/>
      <c r="M46" s="286" t="n"/>
    </row>
    <row r="47" ht="25.5" customHeight="1" s="296">
      <c r="A47" s="402" t="n">
        <v>33</v>
      </c>
      <c r="B47" s="368" t="n"/>
      <c r="C47" s="317" t="inlineStr">
        <is>
          <t>91.05.14-023</t>
        </is>
      </c>
      <c r="D47" s="316" t="inlineStr">
        <is>
          <t>Краны на тракторе, мощность 121 кВт (165 л.с.), грузоподъемность 5 т</t>
        </is>
      </c>
      <c r="E47" s="317" t="inlineStr">
        <is>
          <t>маш.-ч.</t>
        </is>
      </c>
      <c r="F47" s="317" t="n">
        <v>88.88140799999999</v>
      </c>
      <c r="G47" s="316" t="n">
        <v>182.8</v>
      </c>
      <c r="H47" s="276">
        <f>ROUND(F47*G47,2)</f>
        <v/>
      </c>
      <c r="I47" s="286">
        <f>H47/$H$31</f>
        <v/>
      </c>
      <c r="J47" s="285" t="n"/>
      <c r="L47" s="286" t="n"/>
      <c r="M47" s="286" t="n"/>
    </row>
    <row r="48">
      <c r="A48" s="402" t="n">
        <v>34</v>
      </c>
      <c r="B48" s="368" t="n"/>
      <c r="C48" s="317" t="inlineStr">
        <is>
          <t>91.14.03-002</t>
        </is>
      </c>
      <c r="D48" s="316" t="inlineStr">
        <is>
          <t>Автомобили-самосвалы, грузоподъемность до 10 т</t>
        </is>
      </c>
      <c r="E48" s="317" t="inlineStr">
        <is>
          <t>маш.-ч.</t>
        </is>
      </c>
      <c r="F48" s="317" t="n">
        <v>182.4308</v>
      </c>
      <c r="G48" s="316" t="n">
        <v>87.48999999999999</v>
      </c>
      <c r="H48" s="276">
        <f>ROUND(F48*G48,2)</f>
        <v/>
      </c>
      <c r="I48" s="286">
        <f>H48/$H$31</f>
        <v/>
      </c>
      <c r="J48" s="285" t="n"/>
      <c r="L48" s="286" t="n"/>
      <c r="M48" s="286" t="n"/>
    </row>
    <row r="49">
      <c r="A49" s="402" t="n">
        <v>35</v>
      </c>
      <c r="B49" s="368" t="n"/>
      <c r="C49" s="317" t="inlineStr">
        <is>
          <t>91.05.06-012</t>
        </is>
      </c>
      <c r="D49" s="316" t="inlineStr">
        <is>
          <t>Краны на гусеничном ходу, грузоподъемность до 16 т</t>
        </is>
      </c>
      <c r="E49" s="317" t="inlineStr">
        <is>
          <t>маш.-ч.</t>
        </is>
      </c>
      <c r="F49" s="317" t="n">
        <v>155.5939</v>
      </c>
      <c r="G49" s="316" t="n">
        <v>96.89</v>
      </c>
      <c r="H49" s="276">
        <f>ROUND(F49*G49,2)</f>
        <v/>
      </c>
      <c r="I49" s="286">
        <f>H49/$H$31</f>
        <v/>
      </c>
      <c r="J49" s="285" t="n"/>
      <c r="L49" s="286" t="n"/>
      <c r="M49" s="286" t="n"/>
    </row>
    <row r="50" ht="25.5" customHeight="1" s="296">
      <c r="A50" s="402" t="n">
        <v>36</v>
      </c>
      <c r="B50" s="368" t="n"/>
      <c r="C50" s="317" t="inlineStr">
        <is>
          <t>91.04.01-032</t>
        </is>
      </c>
      <c r="D50" s="316" t="inlineStr">
        <is>
          <t>Машины бурильно-крановые глубина бурения 1,5-3 м, мощность 66 кВт (90 л.с.)</t>
        </is>
      </c>
      <c r="E50" s="317" t="inlineStr">
        <is>
          <t>маш.-ч.</t>
        </is>
      </c>
      <c r="F50" s="317" t="n">
        <v>77.655</v>
      </c>
      <c r="G50" s="316" t="n">
        <v>140.95</v>
      </c>
      <c r="H50" s="276">
        <f>ROUND(F50*G50,2)</f>
        <v/>
      </c>
      <c r="I50" s="286">
        <f>H50/$H$31</f>
        <v/>
      </c>
      <c r="J50" s="285" t="n"/>
      <c r="L50" s="286" t="n"/>
      <c r="M50" s="286" t="n"/>
    </row>
    <row r="51">
      <c r="A51" s="402" t="n">
        <v>37</v>
      </c>
      <c r="B51" s="368" t="n"/>
      <c r="C51" s="317" t="inlineStr">
        <is>
          <t>91.21.22-447</t>
        </is>
      </c>
      <c r="D51" s="316" t="inlineStr">
        <is>
          <t>Установки электрометаллизационные</t>
        </is>
      </c>
      <c r="E51" s="317" t="inlineStr">
        <is>
          <t>маш.-ч.</t>
        </is>
      </c>
      <c r="F51" s="317" t="n">
        <v>128.52078184</v>
      </c>
      <c r="G51" s="316" t="n">
        <v>74.23999999999999</v>
      </c>
      <c r="H51" s="276">
        <f>ROUND(F51*G51,2)</f>
        <v/>
      </c>
      <c r="I51" s="286" t="n"/>
      <c r="J51" s="285" t="n"/>
      <c r="L51" s="286" t="n"/>
      <c r="M51" s="286" t="n"/>
    </row>
    <row r="52" ht="25.5" customHeight="1" s="296">
      <c r="A52" s="402" t="n">
        <v>38</v>
      </c>
      <c r="B52" s="368" t="n"/>
      <c r="C52" s="317" t="inlineStr">
        <is>
          <t>91.10.05-001</t>
        </is>
      </c>
      <c r="D52" s="316" t="inlineStr">
        <is>
          <t>Трубоукладчики для труб диаметром 800-1000 мм, грузоподъемность 35 т</t>
        </is>
      </c>
      <c r="E52" s="317" t="inlineStr">
        <is>
          <t>маш.-ч.</t>
        </is>
      </c>
      <c r="F52" s="317" t="n">
        <v>46.2924</v>
      </c>
      <c r="G52" s="316" t="n">
        <v>175.36</v>
      </c>
      <c r="H52" s="276">
        <f>ROUND(F52*G52,2)</f>
        <v/>
      </c>
      <c r="I52" s="286" t="n"/>
      <c r="J52" s="285" t="n"/>
      <c r="L52" s="286" t="n"/>
    </row>
    <row r="53" ht="25.5" customHeight="1" s="296">
      <c r="A53" s="402" t="n">
        <v>39</v>
      </c>
      <c r="B53" s="368" t="n"/>
      <c r="C53" s="317" t="inlineStr">
        <is>
          <t>91.14.05-012</t>
        </is>
      </c>
      <c r="D53" s="316" t="inlineStr">
        <is>
          <t>Полуприцепы общего назначения, грузоподъемность 15 т</t>
        </is>
      </c>
      <c r="E53" s="317" t="inlineStr">
        <is>
          <t>маш.-ч.</t>
        </is>
      </c>
      <c r="F53" s="317" t="n">
        <v>378.515854</v>
      </c>
      <c r="G53" s="316" t="n">
        <v>19.76</v>
      </c>
      <c r="H53" s="276">
        <f>ROUND(F53*G53,2)</f>
        <v/>
      </c>
      <c r="I53" s="286" t="n"/>
      <c r="J53" s="285" t="n"/>
      <c r="L53" s="286" t="n"/>
    </row>
    <row r="54">
      <c r="A54" s="402" t="n">
        <v>40</v>
      </c>
      <c r="B54" s="368" t="n"/>
      <c r="C54" s="317" t="inlineStr">
        <is>
          <t>91.14.02-001</t>
        </is>
      </c>
      <c r="D54" s="316" t="inlineStr">
        <is>
          <t>Автомобили бортовые, грузоподъемность до 5 т</t>
        </is>
      </c>
      <c r="E54" s="317" t="inlineStr">
        <is>
          <t>маш.-ч.</t>
        </is>
      </c>
      <c r="F54" s="317" t="n">
        <v>95.958250601</v>
      </c>
      <c r="G54" s="316" t="n">
        <v>65.73</v>
      </c>
      <c r="H54" s="276">
        <f>ROUND(F54*G54,2)</f>
        <v/>
      </c>
      <c r="I54" s="286" t="n"/>
      <c r="J54" s="285" t="n"/>
      <c r="L54" s="286" t="n"/>
    </row>
    <row r="55" ht="25.5" customHeight="1" s="296">
      <c r="A55" s="402" t="n">
        <v>41</v>
      </c>
      <c r="B55" s="368" t="n"/>
      <c r="C55" s="317" t="inlineStr">
        <is>
          <t>91.05.05-015</t>
        </is>
      </c>
      <c r="D55" s="316" t="inlineStr">
        <is>
          <t>Краны на автомобильном ходу, грузоподъемность 16 т</t>
        </is>
      </c>
      <c r="E55" s="317" t="inlineStr">
        <is>
          <t>маш.-ч.</t>
        </is>
      </c>
      <c r="F55" s="317" t="n">
        <v>42.602747424</v>
      </c>
      <c r="G55" s="316" t="n">
        <v>115.4</v>
      </c>
      <c r="H55" s="276">
        <f>ROUND(F55*G55,2)</f>
        <v/>
      </c>
      <c r="I55" s="286" t="n"/>
      <c r="J55" s="285" t="n"/>
      <c r="L55" s="286" t="n"/>
    </row>
    <row r="56" ht="25.5" customHeight="1" s="296">
      <c r="A56" s="402" t="n">
        <v>42</v>
      </c>
      <c r="B56" s="368" t="n"/>
      <c r="C56" s="317" t="inlineStr">
        <is>
          <t>91.08.09-023</t>
        </is>
      </c>
      <c r="D56" s="316" t="inlineStr">
        <is>
          <t>Трамбовки пневматические при работе от передвижных компрессорных станций</t>
        </is>
      </c>
      <c r="E56" s="317" t="inlineStr">
        <is>
          <t>маш.-ч.</t>
        </is>
      </c>
      <c r="F56" s="317" t="n">
        <v>6118.74580548</v>
      </c>
      <c r="G56" s="316" t="n">
        <v>0.55</v>
      </c>
      <c r="H56" s="276">
        <f>ROUND(F56*G56,2)</f>
        <v/>
      </c>
      <c r="I56" s="286" t="n"/>
      <c r="J56" s="285" t="n"/>
      <c r="L56" s="286" t="n"/>
    </row>
    <row r="57" ht="25.5" customHeight="1" s="296">
      <c r="A57" s="402" t="n">
        <v>43</v>
      </c>
      <c r="B57" s="368" t="n"/>
      <c r="C57" s="317" t="inlineStr">
        <is>
          <t>91.01.04-003</t>
        </is>
      </c>
      <c r="D57" s="316" t="inlineStr">
        <is>
          <t>Установки однобаровые на тракторе, мощность 79 кВт (108 л.с.), ширина щели 14 см</t>
        </is>
      </c>
      <c r="E57" s="317" t="inlineStr">
        <is>
          <t>маш.-ч.</t>
        </is>
      </c>
      <c r="F57" s="317" t="n">
        <v>23.5649024</v>
      </c>
      <c r="G57" s="316" t="n">
        <v>127.95</v>
      </c>
      <c r="H57" s="276">
        <f>ROUND(F57*G57,2)</f>
        <v/>
      </c>
      <c r="I57" s="286" t="n"/>
      <c r="J57" s="285" t="n"/>
      <c r="L57" s="286" t="n"/>
    </row>
    <row r="58" ht="38.25" customHeight="1" s="296">
      <c r="A58" s="402" t="n">
        <v>44</v>
      </c>
      <c r="B58" s="368" t="n"/>
      <c r="C58" s="317" t="inlineStr">
        <is>
          <t>91.04.01-021</t>
        </is>
      </c>
      <c r="D58" s="316" t="inlineStr">
        <is>
          <t>Комплекты оборудования шнекового бурения на базе автомобиля глубина бурения до 50 м, грузоподъемность мачты 3,7 т</t>
        </is>
      </c>
      <c r="E58" s="317" t="inlineStr">
        <is>
          <t>маш.-ч.</t>
        </is>
      </c>
      <c r="F58" s="317" t="n">
        <v>20.7309792</v>
      </c>
      <c r="G58" s="316" t="n">
        <v>87.59999999999999</v>
      </c>
      <c r="H58" s="276">
        <f>ROUND(F58*G58,2)</f>
        <v/>
      </c>
      <c r="I58" s="286" t="n"/>
      <c r="J58" s="285" t="n"/>
      <c r="L58" s="286" t="n"/>
    </row>
    <row r="59" ht="25.5" customHeight="1" s="296">
      <c r="A59" s="402" t="n">
        <v>45</v>
      </c>
      <c r="B59" s="368" t="n"/>
      <c r="C59" s="317" t="inlineStr">
        <is>
          <t>91.17.04-036</t>
        </is>
      </c>
      <c r="D59" s="316" t="inlineStr">
        <is>
          <t>Агрегаты сварочные передвижные с дизельным двигателем, номинальный сварочный ток 250-400 А</t>
        </is>
      </c>
      <c r="E59" s="317" t="inlineStr">
        <is>
          <t>маш.-ч.</t>
        </is>
      </c>
      <c r="F59" s="317" t="n">
        <v>111.31533296</v>
      </c>
      <c r="G59" s="316" t="n">
        <v>14</v>
      </c>
      <c r="H59" s="276">
        <f>ROUND(F59*G59,2)</f>
        <v/>
      </c>
      <c r="I59" s="286" t="n"/>
      <c r="J59" s="285" t="n"/>
      <c r="L59" s="286" t="n"/>
    </row>
    <row r="60">
      <c r="A60" s="402" t="n">
        <v>46</v>
      </c>
      <c r="B60" s="368" t="n"/>
      <c r="C60" s="317" t="inlineStr">
        <is>
          <t>91.14.04-001</t>
        </is>
      </c>
      <c r="D60" s="316" t="inlineStr">
        <is>
          <t>Тягачи седельные, грузоподъемность 12 т</t>
        </is>
      </c>
      <c r="E60" s="317" t="inlineStr">
        <is>
          <t>маш.-ч.</t>
        </is>
      </c>
      <c r="F60" s="317" t="n">
        <v>12.859</v>
      </c>
      <c r="G60" s="316" t="n">
        <v>102.8</v>
      </c>
      <c r="H60" s="276">
        <f>ROUND(F60*G60,2)</f>
        <v/>
      </c>
      <c r="I60" s="286" t="n"/>
      <c r="J60" s="285" t="n"/>
      <c r="L60" s="286" t="n"/>
    </row>
    <row r="61">
      <c r="A61" s="402" t="n">
        <v>47</v>
      </c>
      <c r="B61" s="368" t="n"/>
      <c r="C61" s="317" t="inlineStr">
        <is>
          <t>91.08.03-016</t>
        </is>
      </c>
      <c r="D61" s="316" t="inlineStr">
        <is>
          <t>Катки самоходные гладкие вибрационные, масса 8 т</t>
        </is>
      </c>
      <c r="E61" s="317" t="inlineStr">
        <is>
          <t>маш.-ч.</t>
        </is>
      </c>
      <c r="F61" s="317" t="n">
        <v>5.067827424</v>
      </c>
      <c r="G61" s="316" t="n">
        <v>226.54</v>
      </c>
      <c r="H61" s="276">
        <f>ROUND(F61*G61,2)</f>
        <v/>
      </c>
      <c r="I61" s="286" t="n"/>
      <c r="J61" s="285" t="n"/>
      <c r="L61" s="286" t="n"/>
    </row>
    <row r="62">
      <c r="A62" s="402" t="n">
        <v>48</v>
      </c>
      <c r="B62" s="368" t="n"/>
      <c r="C62" s="317" t="inlineStr">
        <is>
          <t>91.21.16-012</t>
        </is>
      </c>
      <c r="D62" s="316" t="inlineStr">
        <is>
          <t>Прессы гидравлические с электроприводом</t>
        </is>
      </c>
      <c r="E62" s="317" t="inlineStr">
        <is>
          <t>маш.-ч.</t>
        </is>
      </c>
      <c r="F62" s="317" t="n">
        <v>1009.9349716</v>
      </c>
      <c r="G62" s="316" t="n">
        <v>1.11</v>
      </c>
      <c r="H62" s="276">
        <f>ROUND(F62*G62,2)</f>
        <v/>
      </c>
      <c r="I62" s="286" t="n"/>
      <c r="J62" s="285" t="n"/>
      <c r="L62" s="286" t="n"/>
    </row>
    <row r="63">
      <c r="A63" s="402" t="n">
        <v>49</v>
      </c>
      <c r="B63" s="368" t="n"/>
      <c r="C63" s="317" t="inlineStr">
        <is>
          <t>91.19.08-008</t>
        </is>
      </c>
      <c r="D63" s="316" t="inlineStr">
        <is>
          <t>Насосы мощностью 7,5 кВт</t>
        </is>
      </c>
      <c r="E63" s="317" t="inlineStr">
        <is>
          <t>маш.-ч.</t>
        </is>
      </c>
      <c r="F63" s="317" t="n">
        <v>136.6895</v>
      </c>
      <c r="G63" s="316" t="n">
        <v>7.66</v>
      </c>
      <c r="H63" s="276">
        <f>ROUND(F63*G63,2)</f>
        <v/>
      </c>
      <c r="I63" s="286" t="n"/>
      <c r="J63" s="285" t="n"/>
      <c r="L63" s="286" t="n"/>
    </row>
    <row r="64" ht="25.5" customHeight="1" s="296">
      <c r="A64" s="402" t="n">
        <v>50</v>
      </c>
      <c r="B64" s="368" t="n"/>
      <c r="C64" s="317" t="inlineStr">
        <is>
          <t>91.06.05-057</t>
        </is>
      </c>
      <c r="D64" s="316" t="inlineStr">
        <is>
          <t>Погрузчики одноковшовые универсальные фронтальные пневмоколесные, грузоподъемность 3 т</t>
        </is>
      </c>
      <c r="E64" s="317" t="inlineStr">
        <is>
          <t>маш.-ч.</t>
        </is>
      </c>
      <c r="F64" s="317" t="n">
        <v>11.301892</v>
      </c>
      <c r="G64" s="316" t="n">
        <v>90.43000000000001</v>
      </c>
      <c r="H64" s="276">
        <f>ROUND(F64*G64,2)</f>
        <v/>
      </c>
      <c r="I64" s="286" t="n"/>
      <c r="J64" s="285" t="n"/>
      <c r="L64" s="286" t="n"/>
    </row>
    <row r="65">
      <c r="A65" s="402" t="n">
        <v>51</v>
      </c>
      <c r="B65" s="368" t="n"/>
      <c r="C65" s="317" t="inlineStr">
        <is>
          <t>91.06.05-011</t>
        </is>
      </c>
      <c r="D65" s="316" t="inlineStr">
        <is>
          <t>Погрузчики, грузоподъемность 5 т</t>
        </is>
      </c>
      <c r="E65" s="317" t="inlineStr">
        <is>
          <t>маш.-ч.</t>
        </is>
      </c>
      <c r="F65" s="317" t="n">
        <v>8.985630056</v>
      </c>
      <c r="G65" s="316" t="n">
        <v>90</v>
      </c>
      <c r="H65" s="276">
        <f>ROUND(F65*G65,2)</f>
        <v/>
      </c>
      <c r="I65" s="286" t="n"/>
      <c r="J65" s="285" t="n"/>
      <c r="L65" s="286" t="n"/>
    </row>
    <row r="66">
      <c r="A66" s="402" t="n">
        <v>52</v>
      </c>
      <c r="B66" s="368" t="n"/>
      <c r="C66" s="317" t="inlineStr">
        <is>
          <t>91.08.03-013</t>
        </is>
      </c>
      <c r="D66" s="316" t="inlineStr">
        <is>
          <t>Катки самоходные гладкие вибрационные, масса 9 т</t>
        </is>
      </c>
      <c r="E66" s="317" t="inlineStr">
        <is>
          <t>маш.-ч.</t>
        </is>
      </c>
      <c r="F66" s="317" t="n">
        <v>2.826393504</v>
      </c>
      <c r="G66" s="316" t="n">
        <v>243.15</v>
      </c>
      <c r="H66" s="276">
        <f>ROUND(F66*G66,2)</f>
        <v/>
      </c>
      <c r="I66" s="286" t="n"/>
      <c r="J66" s="285" t="n"/>
      <c r="L66" s="286" t="n"/>
    </row>
    <row r="67" ht="25.5" customHeight="1" s="296">
      <c r="A67" s="402" t="n">
        <v>53</v>
      </c>
      <c r="B67" s="368" t="n"/>
      <c r="C67" s="317" t="inlineStr">
        <is>
          <t>91.01.02-004</t>
        </is>
      </c>
      <c r="D67" s="316" t="inlineStr">
        <is>
          <t>Автогрейдеры среднего типа, мощность 99 кВт (135 л.с.)</t>
        </is>
      </c>
      <c r="E67" s="317" t="inlineStr">
        <is>
          <t>маш.-ч.</t>
        </is>
      </c>
      <c r="F67" s="317" t="n">
        <v>2.62411776</v>
      </c>
      <c r="G67" s="316" t="n">
        <v>123</v>
      </c>
      <c r="H67" s="276">
        <f>ROUND(F67*G67,2)</f>
        <v/>
      </c>
      <c r="I67" s="286" t="n"/>
      <c r="J67" s="285" t="n"/>
      <c r="L67" s="286" t="n"/>
    </row>
    <row r="68" ht="25.5" customHeight="1" s="296">
      <c r="A68" s="402" t="n">
        <v>54</v>
      </c>
      <c r="B68" s="368" t="n"/>
      <c r="C68" s="317" t="inlineStr">
        <is>
          <t>91.08.09-024</t>
        </is>
      </c>
      <c r="D68" s="316" t="inlineStr">
        <is>
          <t>Трамбовки пневматические при работе от стационарного компрессора</t>
        </is>
      </c>
      <c r="E68" s="317" t="inlineStr">
        <is>
          <t>маш.-ч.</t>
        </is>
      </c>
      <c r="F68" s="317" t="n">
        <v>64.58224</v>
      </c>
      <c r="G68" s="316" t="n">
        <v>4.9</v>
      </c>
      <c r="H68" s="276">
        <f>ROUND(F68*G68,2)</f>
        <v/>
      </c>
      <c r="I68" s="286" t="n"/>
      <c r="J68" s="285" t="n"/>
      <c r="L68" s="286" t="n"/>
    </row>
    <row r="69" ht="25.5" customHeight="1" s="296">
      <c r="A69" s="402" t="n">
        <v>55</v>
      </c>
      <c r="B69" s="368" t="n"/>
      <c r="C69" s="317" t="inlineStr">
        <is>
          <t>91.21.01-012</t>
        </is>
      </c>
      <c r="D69" s="316" t="inlineStr">
        <is>
          <t>Агрегаты окрасочные высокого давления для окраски поверхностей конструкций, мощность 1 кВт</t>
        </is>
      </c>
      <c r="E69" s="317" t="inlineStr">
        <is>
          <t>маш.-ч.</t>
        </is>
      </c>
      <c r="F69" s="317" t="n">
        <v>37.145874128</v>
      </c>
      <c r="G69" s="316" t="n">
        <v>6.82</v>
      </c>
      <c r="H69" s="276">
        <f>ROUND(F69*G69,2)</f>
        <v/>
      </c>
      <c r="I69" s="286" t="n"/>
      <c r="J69" s="285" t="n"/>
      <c r="L69" s="286" t="n"/>
    </row>
    <row r="70">
      <c r="A70" s="402" t="n">
        <v>56</v>
      </c>
      <c r="B70" s="368" t="n"/>
      <c r="C70" s="317" t="inlineStr">
        <is>
          <t>91.08.02-002</t>
        </is>
      </c>
      <c r="D70" s="316" t="inlineStr">
        <is>
          <t>Автогудронаторы, емкость цистерны 7000 л</t>
        </is>
      </c>
      <c r="E70" s="317" t="inlineStr">
        <is>
          <t>маш.-ч.</t>
        </is>
      </c>
      <c r="F70" s="317" t="n">
        <v>1.924353024</v>
      </c>
      <c r="G70" s="316" t="n">
        <v>115.24</v>
      </c>
      <c r="H70" s="276">
        <f>ROUND(F70*G70,2)</f>
        <v/>
      </c>
      <c r="I70" s="286" t="n"/>
      <c r="J70" s="285" t="n"/>
      <c r="L70" s="286" t="n"/>
    </row>
    <row r="71" ht="25.5" customHeight="1" s="296">
      <c r="A71" s="402" t="n">
        <v>57</v>
      </c>
      <c r="B71" s="368" t="n"/>
      <c r="C71" s="317" t="inlineStr">
        <is>
          <t>91.14.05-011</t>
        </is>
      </c>
      <c r="D71" s="316" t="inlineStr">
        <is>
          <t>Полуприцепы общего назначения, грузоподъемность 12 т</t>
        </is>
      </c>
      <c r="E71" s="317" t="inlineStr">
        <is>
          <t>маш.-ч.</t>
        </is>
      </c>
      <c r="F71" s="317" t="n">
        <v>12.859</v>
      </c>
      <c r="G71" s="316" t="n">
        <v>12</v>
      </c>
      <c r="H71" s="276">
        <f>ROUND(F71*G71,2)</f>
        <v/>
      </c>
      <c r="I71" s="286" t="n"/>
      <c r="J71" s="285" t="n"/>
      <c r="L71" s="286" t="n"/>
    </row>
    <row r="72" ht="25.5" customHeight="1" s="296">
      <c r="A72" s="402" t="n">
        <v>58</v>
      </c>
      <c r="B72" s="368" t="n"/>
      <c r="C72" s="317" t="inlineStr">
        <is>
          <t>91.07.08-024</t>
        </is>
      </c>
      <c r="D72" s="316" t="inlineStr">
        <is>
          <t>Растворосмесители передвижные, объем барабана 65 л</t>
        </is>
      </c>
      <c r="E72" s="317" t="inlineStr">
        <is>
          <t>маш.-ч.</t>
        </is>
      </c>
      <c r="F72" s="317" t="n">
        <v>4.8096</v>
      </c>
      <c r="G72" s="316" t="n">
        <v>12</v>
      </c>
      <c r="H72" s="276">
        <f>ROUND(F72*G72,2)</f>
        <v/>
      </c>
      <c r="I72" s="286" t="n"/>
      <c r="J72" s="285" t="n"/>
      <c r="L72" s="286" t="n"/>
    </row>
    <row r="73">
      <c r="A73" s="402" t="n">
        <v>59</v>
      </c>
      <c r="B73" s="368" t="n"/>
      <c r="C73" s="317" t="inlineStr">
        <is>
          <t>91.08.07-011</t>
        </is>
      </c>
      <c r="D73" s="316" t="inlineStr">
        <is>
          <t>Распределители каменной мелочи</t>
        </is>
      </c>
      <c r="E73" s="317" t="inlineStr">
        <is>
          <t>маш.-ч.</t>
        </is>
      </c>
      <c r="F73" s="317" t="n">
        <v>0.278812512</v>
      </c>
      <c r="G73" s="316" t="n">
        <v>116.68</v>
      </c>
      <c r="H73" s="276">
        <f>ROUND(F73*G73,2)</f>
        <v/>
      </c>
      <c r="I73" s="286" t="n"/>
      <c r="J73" s="285" t="n"/>
      <c r="L73" s="286" t="n"/>
    </row>
    <row r="74">
      <c r="A74" s="402" t="n">
        <v>60</v>
      </c>
      <c r="B74" s="368" t="n"/>
      <c r="C74" s="317" t="inlineStr">
        <is>
          <t>91.13.01-051</t>
        </is>
      </c>
      <c r="D74" s="316" t="inlineStr">
        <is>
          <t>Тракторы с щетками дорожными навесными</t>
        </is>
      </c>
      <c r="E74" s="317" t="inlineStr">
        <is>
          <t>маш.-ч.</t>
        </is>
      </c>
      <c r="F74" s="317" t="n">
        <v>0.30068016</v>
      </c>
      <c r="G74" s="316" t="n">
        <v>62.32</v>
      </c>
      <c r="H74" s="276">
        <f>ROUND(F74*G74,2)</f>
        <v/>
      </c>
      <c r="I74" s="286" t="n"/>
      <c r="J74" s="285" t="n"/>
      <c r="L74" s="286" t="n"/>
    </row>
    <row r="75">
      <c r="A75" s="402" t="n">
        <v>61</v>
      </c>
      <c r="B75" s="368" t="n"/>
      <c r="C75" s="317" t="inlineStr">
        <is>
          <t>91.14.02-002</t>
        </is>
      </c>
      <c r="D75" s="316" t="inlineStr">
        <is>
          <t>Автомобили бортовые, грузоподъемность до 8 т</t>
        </is>
      </c>
      <c r="E75" s="317" t="inlineStr">
        <is>
          <t>маш.-ч.</t>
        </is>
      </c>
      <c r="F75" s="317" t="n">
        <v>0.18193648</v>
      </c>
      <c r="G75" s="316" t="n">
        <v>86.01000000000001</v>
      </c>
      <c r="H75" s="276">
        <f>ROUND(F75*G75,2)</f>
        <v/>
      </c>
      <c r="I75" s="286" t="n"/>
      <c r="J75" s="285" t="n"/>
      <c r="L75" s="286" t="n"/>
    </row>
    <row r="76" ht="25.5" customHeight="1" s="296">
      <c r="A76" s="402" t="n">
        <v>62</v>
      </c>
      <c r="B76" s="368" t="n"/>
      <c r="C76" s="317" t="inlineStr">
        <is>
          <t>91.06.03-060</t>
        </is>
      </c>
      <c r="D76" s="316" t="inlineStr">
        <is>
          <t>Лебедки электрические тяговым усилием до 5,79 кН (0,59 т)</t>
        </is>
      </c>
      <c r="E76" s="317" t="inlineStr">
        <is>
          <t>маш.-ч.</t>
        </is>
      </c>
      <c r="F76" s="317" t="n">
        <v>5.245836064</v>
      </c>
      <c r="G76" s="316" t="n">
        <v>2</v>
      </c>
      <c r="H76" s="276">
        <f>ROUND(F76*G76,2)</f>
        <v/>
      </c>
      <c r="I76" s="286" t="n"/>
      <c r="J76" s="285" t="n"/>
      <c r="L76" s="286" t="n"/>
    </row>
    <row r="77">
      <c r="A77" s="402" t="n">
        <v>63</v>
      </c>
      <c r="B77" s="368" t="n"/>
      <c r="C77" s="317" t="inlineStr">
        <is>
          <t>91.08.04-021</t>
        </is>
      </c>
      <c r="D77" s="316" t="inlineStr">
        <is>
          <t>Котлы битумные передвижные 400 л</t>
        </is>
      </c>
      <c r="E77" s="317" t="inlineStr">
        <is>
          <t>маш.-ч.</t>
        </is>
      </c>
      <c r="F77" s="317" t="n">
        <v>0.30011904</v>
      </c>
      <c r="G77" s="316" t="n">
        <v>30.05</v>
      </c>
      <c r="H77" s="276">
        <f>ROUND(F77*G77,2)</f>
        <v/>
      </c>
      <c r="I77" s="286" t="n"/>
      <c r="J77" s="285" t="n"/>
      <c r="L77" s="286" t="n"/>
    </row>
    <row r="78" ht="25.5" customHeight="1" s="296">
      <c r="A78" s="402" t="n">
        <v>64</v>
      </c>
      <c r="B78" s="368" t="n"/>
      <c r="C78" s="317" t="inlineStr">
        <is>
          <t>91.06.03-055</t>
        </is>
      </c>
      <c r="D78" s="316" t="inlineStr">
        <is>
          <t>Лебедки электрические тяговым усилием 19,62 кН (2 т)</t>
        </is>
      </c>
      <c r="E78" s="317" t="inlineStr">
        <is>
          <t>маш.-ч.</t>
        </is>
      </c>
      <c r="F78" s="317" t="n">
        <v>0.21066048</v>
      </c>
      <c r="G78" s="316" t="n">
        <v>6.66</v>
      </c>
      <c r="H78" s="276">
        <f>ROUND(F78*G78,2)</f>
        <v/>
      </c>
      <c r="I78" s="286" t="n"/>
      <c r="J78" s="285" t="n"/>
      <c r="L78" s="286" t="n"/>
    </row>
    <row r="79">
      <c r="A79" s="367" t="inlineStr">
        <is>
          <t>Материалы</t>
        </is>
      </c>
      <c r="B79" s="447" t="n"/>
      <c r="C79" s="447" t="n"/>
      <c r="D79" s="447" t="n"/>
      <c r="E79" s="448" t="n"/>
      <c r="F79" s="367" t="n"/>
      <c r="G79" s="252" t="n"/>
      <c r="H79" s="277">
        <f>SUM(H80:H158)</f>
        <v/>
      </c>
    </row>
    <row r="80">
      <c r="A80" s="283" t="n">
        <v>65</v>
      </c>
      <c r="B80" s="368" t="n"/>
      <c r="C80" s="317" t="inlineStr">
        <is>
          <t>Прайс из СД ОП</t>
        </is>
      </c>
      <c r="D80" s="316" t="inlineStr">
        <is>
          <t>Свая-оболочка для многогранных опор</t>
        </is>
      </c>
      <c r="E80" s="317" t="inlineStr">
        <is>
          <t>т</t>
        </is>
      </c>
      <c r="F80" s="317" t="n">
        <v>1622.382</v>
      </c>
      <c r="G80" s="316" t="n">
        <v>23728.72</v>
      </c>
      <c r="H80" s="276">
        <f>ROUND(F80*G80,2)</f>
        <v/>
      </c>
      <c r="I80" s="287">
        <f>H80/$H$79</f>
        <v/>
      </c>
      <c r="K80" s="286">
        <f>H80/$H$79</f>
        <v/>
      </c>
      <c r="M80" s="286" t="n"/>
    </row>
    <row r="81">
      <c r="A81" s="283" t="n">
        <v>66</v>
      </c>
      <c r="B81" s="368" t="n"/>
      <c r="C81" s="317" t="inlineStr">
        <is>
          <t>22.2.01.03-0002</t>
        </is>
      </c>
      <c r="D81" s="316" t="inlineStr">
        <is>
          <t>Изолятор подвесной стеклянный ПСВ-160А</t>
        </is>
      </c>
      <c r="E81" s="317" t="inlineStr">
        <is>
          <t>шт</t>
        </is>
      </c>
      <c r="F81" s="317" t="n">
        <v>17600</v>
      </c>
      <c r="G81" s="316" t="n">
        <v>284.68</v>
      </c>
      <c r="H81" s="276">
        <f>ROUND(F81*G81,2)</f>
        <v/>
      </c>
      <c r="I81" s="287">
        <f>H81/$H$79</f>
        <v/>
      </c>
      <c r="M81" s="286" t="n"/>
    </row>
    <row r="82">
      <c r="A82" s="283" t="n">
        <v>67</v>
      </c>
      <c r="B82" s="368" t="n"/>
      <c r="C82" s="317" t="inlineStr">
        <is>
          <t>22.2.01.03-0002</t>
        </is>
      </c>
      <c r="D82" s="316" t="inlineStr">
        <is>
          <t>Изолятор подвесной стеклянный ПСВ-160А</t>
        </is>
      </c>
      <c r="E82" s="317" t="inlineStr">
        <is>
          <t>шт</t>
        </is>
      </c>
      <c r="F82" s="317" t="n">
        <v>9218.4</v>
      </c>
      <c r="G82" s="316" t="n">
        <v>284.68</v>
      </c>
      <c r="H82" s="276">
        <f>ROUND(F82*G82,2)</f>
        <v/>
      </c>
      <c r="I82" s="287">
        <f>H82/$H$79</f>
        <v/>
      </c>
      <c r="M82" s="286" t="n"/>
    </row>
    <row r="83">
      <c r="A83" s="283" t="n">
        <v>68</v>
      </c>
      <c r="B83" s="368" t="n"/>
      <c r="C83" s="317" t="inlineStr">
        <is>
          <t>22.2.01.03-0001</t>
        </is>
      </c>
      <c r="D83" s="316" t="inlineStr">
        <is>
          <t>Изолятор подвесной стеклянный ПСВ-120Б</t>
        </is>
      </c>
      <c r="E83" s="317" t="inlineStr">
        <is>
          <t>шт</t>
        </is>
      </c>
      <c r="F83" s="317" t="n">
        <v>7720.41</v>
      </c>
      <c r="G83" s="316" t="n">
        <v>202.55</v>
      </c>
      <c r="H83" s="276">
        <f>ROUND(F83*G83,2)</f>
        <v/>
      </c>
      <c r="I83" s="287">
        <f>H83/$H$79</f>
        <v/>
      </c>
      <c r="M83" s="286" t="n"/>
    </row>
    <row r="84">
      <c r="A84" s="283" t="n">
        <v>69</v>
      </c>
      <c r="B84" s="368" t="n"/>
      <c r="C84" s="317" t="inlineStr">
        <is>
          <t>22.2.02.04-0040</t>
        </is>
      </c>
      <c r="D84" s="316" t="inlineStr">
        <is>
          <t>Звено промежуточное регулируемое ПРР-21-1</t>
        </is>
      </c>
      <c r="E84" s="317" t="inlineStr">
        <is>
          <t>шт</t>
        </is>
      </c>
      <c r="F84" s="317" t="n">
        <v>1432</v>
      </c>
      <c r="G84" s="316" t="n">
        <v>492.77</v>
      </c>
      <c r="H84" s="276">
        <f>ROUND(F84*G84,2)</f>
        <v/>
      </c>
      <c r="I84" s="287">
        <f>H84/$H$79</f>
        <v/>
      </c>
      <c r="M84" s="286" t="n"/>
    </row>
    <row r="85">
      <c r="A85" s="283" t="n">
        <v>70</v>
      </c>
      <c r="B85" s="368" t="n"/>
      <c r="C85" s="317" t="inlineStr">
        <is>
          <t>20.5.04.07-0041</t>
        </is>
      </c>
      <c r="D85" s="316" t="inlineStr">
        <is>
          <t>Зажим соединительный спиральный СС-24,5-11</t>
        </is>
      </c>
      <c r="E85" s="317" t="inlineStr">
        <is>
          <t>шт</t>
        </is>
      </c>
      <c r="F85" s="317" t="n">
        <v>260</v>
      </c>
      <c r="G85" s="316" t="n">
        <v>1221.05</v>
      </c>
      <c r="H85" s="276">
        <f>ROUND(F85*G85,2)</f>
        <v/>
      </c>
      <c r="I85" s="287">
        <f>H85/$H$79</f>
        <v/>
      </c>
      <c r="M85" s="286" t="n"/>
    </row>
    <row r="86" s="296">
      <c r="A86" s="283" t="n">
        <v>71</v>
      </c>
      <c r="B86" s="368" t="n"/>
      <c r="C86" s="317" t="inlineStr">
        <is>
          <t>22.2.02.04-0016</t>
        </is>
      </c>
      <c r="D86" s="316" t="inlineStr">
        <is>
          <t>Звено промежуточное монтажное ПТМ-21-3А</t>
        </is>
      </c>
      <c r="E86" s="317" t="inlineStr">
        <is>
          <t>шт</t>
        </is>
      </c>
      <c r="F86" s="317" t="n">
        <v>1150</v>
      </c>
      <c r="G86" s="316" t="n">
        <v>421.33</v>
      </c>
      <c r="H86" s="276">
        <f>ROUND(F86*G86,2)</f>
        <v/>
      </c>
      <c r="I86" s="287" t="n"/>
      <c r="J86" s="333" t="n"/>
      <c r="K86" s="333" t="n"/>
      <c r="L86" s="333" t="n"/>
      <c r="M86" s="286" t="n"/>
    </row>
    <row r="87" s="296">
      <c r="A87" s="283" t="n">
        <v>72</v>
      </c>
      <c r="B87" s="368" t="n"/>
      <c r="C87" s="317" t="inlineStr">
        <is>
          <t>20.5.04.04-0039</t>
        </is>
      </c>
      <c r="D87" s="316" t="inlineStr">
        <is>
          <t>Зажим натяжной прессуемый НАСУС-500-1</t>
        </is>
      </c>
      <c r="E87" s="317" t="inlineStr">
        <is>
          <t>шт</t>
        </is>
      </c>
      <c r="F87" s="317" t="n">
        <v>330</v>
      </c>
      <c r="G87" s="316" t="n">
        <v>1962.52</v>
      </c>
      <c r="H87" s="276">
        <f>ROUND(F87*G87,2)</f>
        <v/>
      </c>
      <c r="I87" s="287" t="n"/>
      <c r="J87" s="333" t="n"/>
      <c r="K87" s="333" t="n"/>
      <c r="L87" s="333" t="n"/>
      <c r="M87" s="286" t="n"/>
    </row>
    <row r="88" s="296">
      <c r="A88" s="283" t="n">
        <v>73</v>
      </c>
      <c r="B88" s="368" t="n"/>
      <c r="C88" s="317" t="inlineStr">
        <is>
          <t>01.7.15.02-0052</t>
        </is>
      </c>
      <c r="D88" s="316" t="inlineStr">
        <is>
          <t>Болты анкерные U-образные</t>
        </is>
      </c>
      <c r="E88" s="317" t="inlineStr">
        <is>
          <t>т</t>
        </is>
      </c>
      <c r="F88" s="317" t="n">
        <v>40.1</v>
      </c>
      <c r="G88" s="316" t="n">
        <v>10067.97</v>
      </c>
      <c r="H88" s="276">
        <f>ROUND(F88*G88,2)</f>
        <v/>
      </c>
      <c r="I88" s="287" t="n"/>
      <c r="J88" s="333" t="n"/>
      <c r="K88" s="333" t="n"/>
      <c r="L88" s="333" t="n"/>
      <c r="M88" s="286" t="n"/>
    </row>
    <row r="89" s="296">
      <c r="A89" s="283" t="n">
        <v>74</v>
      </c>
      <c r="B89" s="368" t="n"/>
      <c r="C89" s="317" t="inlineStr">
        <is>
          <t>Прайс из СД ОП</t>
        </is>
      </c>
      <c r="D89" s="316" t="inlineStr">
        <is>
          <t>Узел крепления КГН-21-5</t>
        </is>
      </c>
      <c r="E89" s="317" t="inlineStr">
        <is>
          <t>шт</t>
        </is>
      </c>
      <c r="F89" s="317" t="n">
        <v>574</v>
      </c>
      <c r="G89" s="316" t="n">
        <v>701.52</v>
      </c>
      <c r="H89" s="276">
        <f>ROUND(F89*G89,2)</f>
        <v/>
      </c>
      <c r="I89" s="287" t="n"/>
      <c r="J89" s="333" t="n"/>
      <c r="K89" s="333" t="n"/>
      <c r="L89" s="333" t="n"/>
      <c r="M89" s="286" t="n"/>
    </row>
    <row r="90" s="296">
      <c r="A90" s="283" t="n">
        <v>75</v>
      </c>
      <c r="B90" s="368" t="n"/>
      <c r="C90" s="317" t="inlineStr">
        <is>
          <t>20.1.02.22-0020</t>
        </is>
      </c>
      <c r="D90" s="316" t="inlineStr">
        <is>
          <t>Ушко: У1-30-24</t>
        </is>
      </c>
      <c r="E90" s="317" t="inlineStr">
        <is>
          <t>шт</t>
        </is>
      </c>
      <c r="F90" s="317" t="n">
        <v>574</v>
      </c>
      <c r="G90" s="316" t="n">
        <v>683.1</v>
      </c>
      <c r="H90" s="276">
        <f>ROUND(F90*G90,2)</f>
        <v/>
      </c>
      <c r="I90" s="287" t="n"/>
      <c r="J90" s="333" t="n"/>
      <c r="K90" s="333" t="n"/>
      <c r="L90" s="333" t="n"/>
      <c r="M90" s="286" t="n"/>
    </row>
    <row r="91" s="296">
      <c r="A91" s="283" t="n">
        <v>76</v>
      </c>
      <c r="B91" s="368" t="n"/>
      <c r="C91" s="317" t="inlineStr">
        <is>
          <t>20.1.01.12-0002</t>
        </is>
      </c>
      <c r="D91" s="316" t="inlineStr">
        <is>
          <t>Зажим поддерживающий глухой 2ПГН-5-7(А-К)</t>
        </is>
      </c>
      <c r="E91" s="317" t="inlineStr">
        <is>
          <t>шт</t>
        </is>
      </c>
      <c r="F91" s="317" t="n">
        <v>448</v>
      </c>
      <c r="G91" s="316" t="n">
        <v>736.17</v>
      </c>
      <c r="H91" s="276">
        <f>ROUND(F91*G91,2)</f>
        <v/>
      </c>
      <c r="I91" s="287" t="n"/>
      <c r="J91" s="333" t="n"/>
      <c r="K91" s="333" t="n"/>
      <c r="L91" s="333" t="n"/>
      <c r="M91" s="286" t="n"/>
    </row>
    <row r="92" s="296">
      <c r="A92" s="283" t="n">
        <v>77</v>
      </c>
      <c r="B92" s="368" t="n"/>
      <c r="C92" s="317" t="inlineStr">
        <is>
          <t>Прайс из СД ОП</t>
        </is>
      </c>
      <c r="D92" s="316" t="inlineStr">
        <is>
          <t>Зажим натяжной клиносочлененный ЗНК401005/28Х29</t>
        </is>
      </c>
      <c r="E92" s="317" t="inlineStr">
        <is>
          <t>шт</t>
        </is>
      </c>
      <c r="F92" s="317" t="n">
        <v>244</v>
      </c>
      <c r="G92" s="316" t="n">
        <v>1426.41</v>
      </c>
      <c r="H92" s="276">
        <f>ROUND(F92*G92,2)</f>
        <v/>
      </c>
      <c r="I92" s="287" t="n"/>
      <c r="J92" s="333" t="n"/>
      <c r="K92" s="333" t="n"/>
      <c r="L92" s="333" t="n"/>
      <c r="M92" s="286" t="n"/>
    </row>
    <row r="93" s="296">
      <c r="A93" s="283" t="n">
        <v>78</v>
      </c>
      <c r="B93" s="368" t="n"/>
      <c r="C93" s="317" t="inlineStr">
        <is>
          <t>Прайс из СД ОП</t>
        </is>
      </c>
      <c r="D93" s="316" t="inlineStr">
        <is>
          <t>Коромысло 2КЛ-21-1</t>
        </is>
      </c>
      <c r="E93" s="317" t="inlineStr">
        <is>
          <t>шт.</t>
        </is>
      </c>
      <c r="F93" s="317" t="n">
        <v>288</v>
      </c>
      <c r="G93" s="316" t="n">
        <v>1161.67</v>
      </c>
      <c r="H93" s="276">
        <f>ROUND(F93*G93,2)</f>
        <v/>
      </c>
      <c r="I93" s="287" t="n"/>
      <c r="J93" s="333" t="n"/>
      <c r="K93" s="333" t="n"/>
      <c r="L93" s="333" t="n"/>
      <c r="M93" s="286" t="n"/>
    </row>
    <row r="94">
      <c r="A94" s="283" t="n">
        <v>79</v>
      </c>
      <c r="B94" s="368" t="n"/>
      <c r="C94" s="317" t="inlineStr">
        <is>
          <t>05.1.01.13-0011</t>
        </is>
      </c>
      <c r="D94" s="316" t="inlineStr">
        <is>
          <t>Плита анкерная сборная железобетонная ВЛ и ОРУ</t>
        </is>
      </c>
      <c r="E94" s="317" t="inlineStr">
        <is>
          <t>м3</t>
        </is>
      </c>
      <c r="F94" s="317" t="n">
        <v>243.0184</v>
      </c>
      <c r="G94" s="316" t="n">
        <v>1148</v>
      </c>
      <c r="H94" s="276">
        <f>ROUND(F94*G94,2)</f>
        <v/>
      </c>
      <c r="I94" s="287">
        <f>H94/$H$79</f>
        <v/>
      </c>
      <c r="M94" s="286" t="n"/>
    </row>
    <row r="95">
      <c r="A95" s="283" t="n">
        <v>80</v>
      </c>
      <c r="B95" s="368" t="n"/>
      <c r="C95" s="317" t="inlineStr">
        <is>
          <t>22.2.02.01-0022</t>
        </is>
      </c>
      <c r="D95" s="316" t="inlineStr">
        <is>
          <t>Гаситель вибрации ГВП-3,2-13</t>
        </is>
      </c>
      <c r="E95" s="317" t="inlineStr">
        <is>
          <t>шт</t>
        </is>
      </c>
      <c r="F95" s="317" t="n">
        <v>1603.2</v>
      </c>
      <c r="G95" s="316" t="n">
        <v>169.74</v>
      </c>
      <c r="H95" s="276">
        <f>ROUND(F95*G95,2)</f>
        <v/>
      </c>
      <c r="I95" s="287">
        <f>H95/$H$79</f>
        <v/>
      </c>
      <c r="M95" s="286" t="n"/>
      <c r="O95" s="287" t="n"/>
    </row>
    <row r="96">
      <c r="A96" s="283" t="n">
        <v>81</v>
      </c>
      <c r="B96" s="368" t="n"/>
      <c r="C96" s="317" t="inlineStr">
        <is>
          <t>22.2.02.04-0020</t>
        </is>
      </c>
      <c r="D96" s="316" t="inlineStr">
        <is>
          <t>Звено промежуточное прямое двойное 2ПР-21-1</t>
        </is>
      </c>
      <c r="E96" s="317" t="inlineStr">
        <is>
          <t>шт</t>
        </is>
      </c>
      <c r="F96" s="317" t="n">
        <v>756.51</v>
      </c>
      <c r="G96" s="316" t="n">
        <v>314.56</v>
      </c>
      <c r="H96" s="276">
        <f>ROUND(F96*G96,2)</f>
        <v/>
      </c>
      <c r="I96" s="287">
        <f>H96/$H$79</f>
        <v/>
      </c>
    </row>
    <row r="97">
      <c r="A97" s="283" t="n">
        <v>82</v>
      </c>
      <c r="B97" s="368" t="n"/>
      <c r="C97" s="317" t="inlineStr">
        <is>
          <t>22.2.01.03-0003</t>
        </is>
      </c>
      <c r="D97" s="316" t="inlineStr">
        <is>
          <t>Изолятор подвесной стеклянный ПСД-70Е</t>
        </is>
      </c>
      <c r="E97" s="317" t="inlineStr">
        <is>
          <t>шт</t>
        </is>
      </c>
      <c r="F97" s="317" t="n">
        <v>1304.27</v>
      </c>
      <c r="G97" s="316" t="n">
        <v>169.25</v>
      </c>
      <c r="H97" s="276">
        <f>ROUND(F97*G97,2)</f>
        <v/>
      </c>
      <c r="I97" s="287">
        <f>H97/$H$79</f>
        <v/>
      </c>
    </row>
    <row r="98">
      <c r="A98" s="283" t="n">
        <v>83</v>
      </c>
      <c r="B98" s="368" t="n"/>
      <c r="C98" s="317" t="inlineStr">
        <is>
          <t>Прайс из СД ОП</t>
        </is>
      </c>
      <c r="D98" s="316" t="inlineStr">
        <is>
          <t>Звено промежуточное трехлапчатое ПРТ-30/21-2</t>
        </is>
      </c>
      <c r="E98" s="317" t="inlineStr">
        <is>
          <t>шт</t>
        </is>
      </c>
      <c r="F98" s="317" t="n">
        <v>479.29</v>
      </c>
      <c r="G98" s="316" t="n">
        <v>414.23</v>
      </c>
      <c r="H98" s="276">
        <f>ROUND(F98*G98,2)</f>
        <v/>
      </c>
      <c r="I98" s="287">
        <f>H98/$H$79</f>
        <v/>
      </c>
    </row>
    <row r="99">
      <c r="A99" s="283" t="n">
        <v>84</v>
      </c>
      <c r="B99" s="368" t="n"/>
      <c r="C99" s="317" t="inlineStr">
        <is>
          <t>Прайс из СД ОП</t>
        </is>
      </c>
      <c r="D99" s="316" t="inlineStr">
        <is>
          <t>Звено промежуточное прямое двойное 2ПР-30-1</t>
        </is>
      </c>
      <c r="E99" s="317" t="inlineStr">
        <is>
          <t>шт</t>
        </is>
      </c>
      <c r="F99" s="317" t="n">
        <v>479.29</v>
      </c>
      <c r="G99" s="316" t="n">
        <v>414.23</v>
      </c>
      <c r="H99" s="276">
        <f>ROUND(F99*G99,2)</f>
        <v/>
      </c>
      <c r="I99" s="287">
        <f>H99/$H$79</f>
        <v/>
      </c>
    </row>
    <row r="100" ht="51" customHeight="1" s="296">
      <c r="A100" s="283" t="n">
        <v>85</v>
      </c>
      <c r="B100" s="368" t="n"/>
      <c r="C100" s="317" t="inlineStr">
        <is>
          <t>23.5.01.08-0089</t>
        </is>
      </c>
      <c r="D100" s="316" t="inlineStr">
        <is>
          <t>Трубы стальные электросварные прямошовные и спирально-шовные группы А и Б с сопротивлением по разрыву 38 кгс/мм2, наружный диаметр 1420 мм, толщина стенки 10 мм</t>
        </is>
      </c>
      <c r="E100" s="317" t="inlineStr">
        <is>
          <t>м</t>
        </is>
      </c>
      <c r="F100" s="317" t="n">
        <v>68.637</v>
      </c>
      <c r="G100" s="316" t="n">
        <v>2840.49</v>
      </c>
      <c r="H100" s="276">
        <f>ROUND(F100*G100,2)</f>
        <v/>
      </c>
      <c r="I100" s="287">
        <f>H100/$H$79</f>
        <v/>
      </c>
    </row>
    <row r="101" ht="25.5" customHeight="1" s="296">
      <c r="A101" s="283" t="n">
        <v>86</v>
      </c>
      <c r="B101" s="368" t="n"/>
      <c r="C101" s="317" t="inlineStr">
        <is>
          <t>Прайс из СД ОП</t>
        </is>
      </c>
      <c r="D101" s="316" t="inlineStr">
        <is>
          <t>Зажим  соединительный  ШЛЕЙФОВЫЙ спиральный	 ШС-33.2-01</t>
        </is>
      </c>
      <c r="E101" s="317" t="inlineStr">
        <is>
          <t>шт</t>
        </is>
      </c>
      <c r="F101" s="317" t="n">
        <v>243.82</v>
      </c>
      <c r="G101" s="316" t="n">
        <v>739.4400000000001</v>
      </c>
      <c r="H101" s="276">
        <f>ROUND(F101*G101,2)</f>
        <v/>
      </c>
      <c r="I101" s="287">
        <f>H101/$H$79</f>
        <v/>
      </c>
    </row>
    <row r="102">
      <c r="A102" s="283" t="n">
        <v>87</v>
      </c>
      <c r="B102" s="368" t="n"/>
      <c r="C102" s="317" t="inlineStr">
        <is>
          <t>22.2.02.04-0028</t>
        </is>
      </c>
      <c r="D102" s="316" t="inlineStr">
        <is>
          <t>Звено промежуточное ПТР-21-1</t>
        </is>
      </c>
      <c r="E102" s="317" t="inlineStr">
        <is>
          <t>шт</t>
        </is>
      </c>
      <c r="F102" s="317" t="n">
        <v>245.49</v>
      </c>
      <c r="G102" s="316" t="n">
        <v>720.0599999999999</v>
      </c>
      <c r="H102" s="276">
        <f>ROUND(F102*G102,2)</f>
        <v/>
      </c>
      <c r="I102" s="287" t="n"/>
    </row>
    <row r="103">
      <c r="A103" s="283" t="n">
        <v>88</v>
      </c>
      <c r="B103" s="368" t="n"/>
      <c r="C103" s="317" t="inlineStr">
        <is>
          <t>Прайс из СД ОП</t>
        </is>
      </c>
      <c r="D103" s="316" t="inlineStr">
        <is>
          <t>Звено промежуточное трехлапчатое ПРТ-21/30-2</t>
        </is>
      </c>
      <c r="E103" s="317" t="inlineStr">
        <is>
          <t>шт</t>
        </is>
      </c>
      <c r="F103" s="317" t="n">
        <v>479.29</v>
      </c>
      <c r="G103" s="316" t="n">
        <v>287.28</v>
      </c>
      <c r="H103" s="276">
        <f>ROUND(F103*G103,2)</f>
        <v/>
      </c>
      <c r="I103" s="287" t="n"/>
    </row>
    <row r="104">
      <c r="A104" s="283" t="n">
        <v>89</v>
      </c>
      <c r="B104" s="368" t="n"/>
      <c r="C104" s="317" t="inlineStr">
        <is>
          <t>22.2.02.04-0024</t>
        </is>
      </c>
      <c r="D104" s="316" t="inlineStr">
        <is>
          <t>Звено промежуточное прямое ПР-21-6</t>
        </is>
      </c>
      <c r="E104" s="317" t="inlineStr">
        <is>
          <t>шт</t>
        </is>
      </c>
      <c r="F104" s="317" t="n">
        <v>960.25</v>
      </c>
      <c r="G104" s="316" t="n">
        <v>142.98</v>
      </c>
      <c r="H104" s="276">
        <f>ROUND(F104*G104,2)</f>
        <v/>
      </c>
      <c r="I104" s="287" t="n"/>
    </row>
    <row r="105">
      <c r="A105" s="283" t="n">
        <v>90</v>
      </c>
      <c r="B105" s="368" t="n"/>
      <c r="C105" s="317" t="inlineStr">
        <is>
          <t>01.7.15.10-0035</t>
        </is>
      </c>
      <c r="D105" s="316" t="inlineStr">
        <is>
          <t>Скобы СК-21-1А</t>
        </is>
      </c>
      <c r="E105" s="317" t="inlineStr">
        <is>
          <t>шт</t>
        </is>
      </c>
      <c r="F105" s="317" t="n">
        <v>960.25</v>
      </c>
      <c r="G105" s="316" t="n">
        <v>116.92</v>
      </c>
      <c r="H105" s="276">
        <f>ROUND(F105*G105,2)</f>
        <v/>
      </c>
      <c r="I105" s="287" t="n"/>
    </row>
    <row r="106">
      <c r="A106" s="283" t="n">
        <v>91</v>
      </c>
      <c r="B106" s="368" t="n"/>
      <c r="C106" s="317" t="inlineStr">
        <is>
          <t>Прайс из СД ОП</t>
        </is>
      </c>
      <c r="D106" s="316" t="inlineStr">
        <is>
          <t>Серьга  СР-30-24</t>
        </is>
      </c>
      <c r="E106" s="317" t="inlineStr">
        <is>
          <t>шт</t>
        </is>
      </c>
      <c r="F106" s="317" t="n">
        <v>479.29</v>
      </c>
      <c r="G106" s="316" t="n">
        <v>207.95</v>
      </c>
      <c r="H106" s="276">
        <f>ROUND(F106*G106,2)</f>
        <v/>
      </c>
      <c r="I106" s="287" t="n"/>
    </row>
    <row r="107" ht="25.5" customHeight="1" s="296">
      <c r="A107" s="283" t="n">
        <v>92</v>
      </c>
      <c r="B107" s="368" t="n"/>
      <c r="C107" s="317" t="inlineStr">
        <is>
          <t>Прайс из СД ОП</t>
        </is>
      </c>
      <c r="D107" s="316" t="inlineStr">
        <is>
          <t>Изолятор подвесной с аэродинамическим профилем U120ВА 212V</t>
        </is>
      </c>
      <c r="E107" s="317" t="inlineStr">
        <is>
          <t>шт</t>
        </is>
      </c>
      <c r="F107" s="317" t="n">
        <v>350.7</v>
      </c>
      <c r="G107" s="316" t="n">
        <v>280.94</v>
      </c>
      <c r="H107" s="276">
        <f>ROUND(F107*G107,2)</f>
        <v/>
      </c>
      <c r="I107" s="287" t="n"/>
    </row>
    <row r="108">
      <c r="A108" s="283" t="n">
        <v>93</v>
      </c>
      <c r="B108" s="368" t="n"/>
      <c r="C108" s="317" t="inlineStr">
        <is>
          <t>20.2.11.01-0010</t>
        </is>
      </c>
      <c r="D108" s="316" t="inlineStr">
        <is>
          <t>Распорка дистанционная глухая РГ-4-400</t>
        </is>
      </c>
      <c r="E108" s="317" t="inlineStr">
        <is>
          <t>шт</t>
        </is>
      </c>
      <c r="F108" s="317" t="n">
        <v>2817.29</v>
      </c>
      <c r="G108" s="316" t="n">
        <v>33.41</v>
      </c>
      <c r="H108" s="276">
        <f>ROUND(F108*G108,2)</f>
        <v/>
      </c>
      <c r="I108" s="287" t="n"/>
    </row>
    <row r="109">
      <c r="A109" s="283" t="n">
        <v>94</v>
      </c>
      <c r="B109" s="368" t="n"/>
      <c r="C109" s="317" t="inlineStr">
        <is>
          <t>22.2.02.04-0004</t>
        </is>
      </c>
      <c r="D109" s="316" t="inlineStr">
        <is>
          <t>Звено промежуточное вывернутое ПРВ-21-1</t>
        </is>
      </c>
      <c r="E109" s="317" t="inlineStr">
        <is>
          <t>шт</t>
        </is>
      </c>
      <c r="F109" s="317" t="n">
        <v>960.25</v>
      </c>
      <c r="G109" s="316" t="n">
        <v>83.93000000000001</v>
      </c>
      <c r="H109" s="276">
        <f>ROUND(F109*G109,2)</f>
        <v/>
      </c>
      <c r="I109" s="287" t="n"/>
    </row>
    <row r="110" ht="38.25" customHeight="1" s="296">
      <c r="A110" s="283" t="n">
        <v>95</v>
      </c>
      <c r="B110" s="368" t="n"/>
      <c r="C110" s="317" t="inlineStr">
        <is>
          <t>02.3.01.02-0016</t>
        </is>
      </c>
      <c r="D110" s="316" t="inlineStr">
        <is>
          <t>Песок природный для строительных: работ средний с крупностью зерен размером свыше 5 мм - до 5% по массе</t>
        </is>
      </c>
      <c r="E110" s="317" t="inlineStr">
        <is>
          <t>м3</t>
        </is>
      </c>
      <c r="F110" s="317" t="n">
        <v>1250.18204</v>
      </c>
      <c r="G110" s="316" t="n">
        <v>55.26</v>
      </c>
      <c r="H110" s="276">
        <f>ROUND(F110*G110,2)</f>
        <v/>
      </c>
      <c r="I110" s="287" t="n"/>
    </row>
    <row r="111">
      <c r="A111" s="283" t="n">
        <v>96</v>
      </c>
      <c r="B111" s="368" t="n"/>
      <c r="C111" s="317" t="inlineStr">
        <is>
          <t>20.2.02.06-0002</t>
        </is>
      </c>
      <c r="D111" s="316" t="inlineStr">
        <is>
          <t>Экран защитный: ЭЗ-500-5</t>
        </is>
      </c>
      <c r="E111" s="317" t="inlineStr">
        <is>
          <t>шт</t>
        </is>
      </c>
      <c r="F111" s="317" t="n">
        <v>479.29</v>
      </c>
      <c r="G111" s="316" t="n">
        <v>122.11</v>
      </c>
      <c r="H111" s="276">
        <f>ROUND(F111*G111,2)</f>
        <v/>
      </c>
      <c r="I111" s="287" t="n"/>
    </row>
    <row r="112">
      <c r="A112" s="283" t="n">
        <v>97</v>
      </c>
      <c r="B112" s="368" t="n"/>
      <c r="C112" s="317" t="inlineStr">
        <is>
          <t>20.1.02.22-0008</t>
        </is>
      </c>
      <c r="D112" s="316" t="inlineStr">
        <is>
          <t>Ушко: специальное укороченное УСК-12-16</t>
        </is>
      </c>
      <c r="E112" s="317" t="inlineStr">
        <is>
          <t>шт</t>
        </is>
      </c>
      <c r="F112" s="317" t="n">
        <v>404.14</v>
      </c>
      <c r="G112" s="316" t="n">
        <v>120.95</v>
      </c>
      <c r="H112" s="276">
        <f>ROUND(F112*G112,2)</f>
        <v/>
      </c>
      <c r="I112" s="287" t="n"/>
    </row>
    <row r="113">
      <c r="A113" s="283" t="n">
        <v>98</v>
      </c>
      <c r="B113" s="368" t="n"/>
      <c r="C113" s="317" t="inlineStr">
        <is>
          <t>05.1.03.13-0183</t>
        </is>
      </c>
      <c r="D113" s="316" t="inlineStr">
        <is>
          <t>Ригели сборные железобетонные ВЛ и ОРУ</t>
        </is>
      </c>
      <c r="E113" s="317" t="inlineStr">
        <is>
          <t>м3</t>
        </is>
      </c>
      <c r="F113" s="317" t="n">
        <v>26.9872</v>
      </c>
      <c r="G113" s="316" t="n">
        <v>1733.42</v>
      </c>
      <c r="H113" s="276">
        <f>ROUND(F113*G113,2)</f>
        <v/>
      </c>
      <c r="I113" s="287" t="n"/>
    </row>
    <row r="114">
      <c r="A114" s="283" t="n">
        <v>99</v>
      </c>
      <c r="B114" s="368" t="n"/>
      <c r="C114" s="317" t="inlineStr">
        <is>
          <t>20.2.11.02-0003</t>
        </is>
      </c>
      <c r="D114" s="316" t="inlineStr">
        <is>
          <t>Распорка дистанционная утяжеленная РУ-4-400</t>
        </is>
      </c>
      <c r="E114" s="317" t="inlineStr">
        <is>
          <t>шт</t>
        </is>
      </c>
      <c r="F114" s="317" t="n">
        <v>369.07</v>
      </c>
      <c r="G114" s="316" t="n">
        <v>83.53</v>
      </c>
      <c r="H114" s="276">
        <f>ROUND(F114*G114,2)</f>
        <v/>
      </c>
      <c r="I114" s="287" t="n"/>
    </row>
    <row r="115">
      <c r="A115" s="283" t="n">
        <v>100</v>
      </c>
      <c r="B115" s="368" t="n"/>
      <c r="C115" s="317" t="inlineStr">
        <is>
          <t>07.1.04.02-0001</t>
        </is>
      </c>
      <c r="D115" s="316" t="inlineStr">
        <is>
          <t>Детали крепления стальные</t>
        </is>
      </c>
      <c r="E115" s="317" t="inlineStr">
        <is>
          <t>кг</t>
        </is>
      </c>
      <c r="F115" s="317" t="n">
        <v>2805.6</v>
      </c>
      <c r="G115" s="316" t="n">
        <v>10.05</v>
      </c>
      <c r="H115" s="276">
        <f>ROUND(F115*G115,2)</f>
        <v/>
      </c>
      <c r="I115" s="287" t="n"/>
    </row>
    <row r="116">
      <c r="A116" s="283" t="n">
        <v>101</v>
      </c>
      <c r="B116" s="368" t="n"/>
      <c r="C116" s="317" t="inlineStr">
        <is>
          <t>22.2.02.04-0045</t>
        </is>
      </c>
      <c r="D116" s="316" t="inlineStr">
        <is>
          <t>Звено промежуточное трехлапчатое ПРТ-12-1</t>
        </is>
      </c>
      <c r="E116" s="317" t="inlineStr">
        <is>
          <t>шт</t>
        </is>
      </c>
      <c r="F116" s="317" t="n">
        <v>404.14</v>
      </c>
      <c r="G116" s="316" t="n">
        <v>65.58</v>
      </c>
      <c r="H116" s="276">
        <f>ROUND(F116*G116,2)</f>
        <v/>
      </c>
      <c r="I116" s="287" t="n"/>
    </row>
    <row r="117">
      <c r="A117" s="283" t="n">
        <v>102</v>
      </c>
      <c r="B117" s="368" t="n"/>
      <c r="C117" s="317" t="inlineStr">
        <is>
          <t>02.2.05.04-1592</t>
        </is>
      </c>
      <c r="D117" s="316" t="inlineStr">
        <is>
          <t>Щебень М 1400, фракция 5(3)-10 мм, группа 2</t>
        </is>
      </c>
      <c r="E117" s="317" t="inlineStr">
        <is>
          <t>м3</t>
        </is>
      </c>
      <c r="F117" s="317" t="n">
        <v>168.6199</v>
      </c>
      <c r="G117" s="316" t="n">
        <v>142.71</v>
      </c>
      <c r="H117" s="276">
        <f>ROUND(F117*G117,2)</f>
        <v/>
      </c>
      <c r="I117" s="287" t="n"/>
    </row>
    <row r="118" ht="25.5" customHeight="1" s="296">
      <c r="A118" s="283" t="n">
        <v>103</v>
      </c>
      <c r="B118" s="368" t="n"/>
      <c r="C118" s="317" t="inlineStr">
        <is>
          <t>11.1.02.01-0031</t>
        </is>
      </c>
      <c r="D118" s="316" t="inlineStr">
        <is>
          <t>Лесоматериалы лиственных пород для строительства, круглые, длина 3-6,5 м, диаметр 12-24 см</t>
        </is>
      </c>
      <c r="E118" s="317" t="inlineStr">
        <is>
          <t>м3</t>
        </is>
      </c>
      <c r="F118" s="317" t="n">
        <v>65.631</v>
      </c>
      <c r="G118" s="316" t="n">
        <v>365</v>
      </c>
      <c r="H118" s="276">
        <f>ROUND(F118*G118,2)</f>
        <v/>
      </c>
      <c r="I118" s="287" t="n"/>
    </row>
    <row r="119">
      <c r="A119" s="283" t="n">
        <v>104</v>
      </c>
      <c r="B119" s="368" t="n"/>
      <c r="C119" s="317" t="inlineStr">
        <is>
          <t>22.2.02.04-0010</t>
        </is>
      </c>
      <c r="D119" s="316" t="inlineStr">
        <is>
          <t>Звено промежуточное монтажное ПТМ-12-3А</t>
        </is>
      </c>
      <c r="E119" s="317" t="inlineStr">
        <is>
          <t>шт</t>
        </is>
      </c>
      <c r="F119" s="317" t="n">
        <v>404.14</v>
      </c>
      <c r="G119" s="316" t="n">
        <v>57.95</v>
      </c>
      <c r="H119" s="276">
        <f>ROUND(F119*G119,2)</f>
        <v/>
      </c>
      <c r="I119" s="287" t="n"/>
    </row>
    <row r="120">
      <c r="A120" s="283" t="n">
        <v>105</v>
      </c>
      <c r="B120" s="368" t="n"/>
      <c r="C120" s="317" t="inlineStr">
        <is>
          <t>Прайс из СД ОП</t>
        </is>
      </c>
      <c r="D120" s="316" t="inlineStr">
        <is>
          <t>Скоба СК-120-1Б</t>
        </is>
      </c>
      <c r="E120" s="317" t="inlineStr">
        <is>
          <t>шт</t>
        </is>
      </c>
      <c r="F120" s="317" t="n">
        <v>347.36</v>
      </c>
      <c r="G120" s="316" t="n">
        <v>64.34</v>
      </c>
      <c r="H120" s="276">
        <f>ROUND(F120*G120,2)</f>
        <v/>
      </c>
      <c r="I120" s="287" t="n"/>
    </row>
    <row r="121">
      <c r="A121" s="283" t="n">
        <v>106</v>
      </c>
      <c r="B121" s="368" t="n"/>
      <c r="C121" s="317" t="inlineStr">
        <is>
          <t>01.7.15.10-0032</t>
        </is>
      </c>
      <c r="D121" s="316" t="inlineStr">
        <is>
          <t>Скобы СК-12-1А</t>
        </is>
      </c>
      <c r="E121" s="317" t="inlineStr">
        <is>
          <t>шт</t>
        </is>
      </c>
      <c r="F121" s="317" t="n">
        <v>404.14</v>
      </c>
      <c r="G121" s="316" t="n">
        <v>54.7</v>
      </c>
      <c r="H121" s="276">
        <f>ROUND(F121*G121,2)</f>
        <v/>
      </c>
      <c r="I121" s="287" t="n"/>
    </row>
    <row r="122">
      <c r="A122" s="283" t="n">
        <v>107</v>
      </c>
      <c r="B122" s="368" t="n"/>
      <c r="C122" s="317" t="inlineStr">
        <is>
          <t>01.4.01.03-0122</t>
        </is>
      </c>
      <c r="D122" s="316" t="inlineStr">
        <is>
          <t>Долота трехшарошечные типа Ш76К-ЦВ</t>
        </is>
      </c>
      <c r="E122" s="317" t="inlineStr">
        <is>
          <t>шт</t>
        </is>
      </c>
      <c r="F122" s="317" t="n">
        <v>25.062859</v>
      </c>
      <c r="G122" s="316" t="n">
        <v>864.37</v>
      </c>
      <c r="H122" s="276">
        <f>ROUND(F122*G122,2)</f>
        <v/>
      </c>
      <c r="I122" s="287" t="n"/>
    </row>
    <row r="123">
      <c r="A123" s="283" t="n">
        <v>108</v>
      </c>
      <c r="B123" s="368" t="n"/>
      <c r="C123" s="317" t="inlineStr">
        <is>
          <t>01.4.01.03-0123</t>
        </is>
      </c>
      <c r="D123" s="316" t="inlineStr">
        <is>
          <t>Долота трехшарошечные типа Ш93Т-ЦВ</t>
        </is>
      </c>
      <c r="E123" s="317" t="inlineStr">
        <is>
          <t>шт</t>
        </is>
      </c>
      <c r="F123" s="317" t="n">
        <v>14.62239475</v>
      </c>
      <c r="G123" s="316" t="n">
        <v>1434.19</v>
      </c>
      <c r="H123" s="276">
        <f>ROUND(F123*G123,2)</f>
        <v/>
      </c>
      <c r="I123" s="287" t="n"/>
    </row>
    <row r="124">
      <c r="A124" s="283" t="n">
        <v>109</v>
      </c>
      <c r="B124" s="368" t="n"/>
      <c r="C124" s="317" t="inlineStr">
        <is>
          <t>22.2.02.04-0022</t>
        </is>
      </c>
      <c r="D124" s="316" t="inlineStr">
        <is>
          <t>Звено промежуточное прямое ПР-12-6</t>
        </is>
      </c>
      <c r="E124" s="317" t="inlineStr">
        <is>
          <t>шт</t>
        </is>
      </c>
      <c r="F124" s="317" t="n">
        <v>404.14</v>
      </c>
      <c r="G124" s="316" t="n">
        <v>42.05</v>
      </c>
      <c r="H124" s="276">
        <f>ROUND(F124*G124,2)</f>
        <v/>
      </c>
      <c r="I124" s="287" t="n"/>
    </row>
    <row r="125" ht="25.5" customHeight="1" s="296">
      <c r="A125" s="283" t="n">
        <v>110</v>
      </c>
      <c r="B125" s="368" t="n"/>
      <c r="C125" s="317" t="inlineStr">
        <is>
          <t>Прайс из СД ОП</t>
        </is>
      </c>
      <c r="D125" s="316" t="inlineStr">
        <is>
          <t>Оцинковка металлических балок для сдвоенных фундаметов</t>
        </is>
      </c>
      <c r="E125" s="317" t="inlineStr">
        <is>
          <t>т</t>
        </is>
      </c>
      <c r="F125" s="317" t="n">
        <v>4.2589676</v>
      </c>
      <c r="G125" s="316" t="n">
        <v>3772.53</v>
      </c>
      <c r="H125" s="276">
        <f>ROUND(F125*G125,2)</f>
        <v/>
      </c>
      <c r="I125" s="287" t="n"/>
    </row>
    <row r="126" ht="25.5" customHeight="1" s="296">
      <c r="A126" s="283" t="n">
        <v>111</v>
      </c>
      <c r="B126" s="368" t="n"/>
      <c r="C126" s="317" t="inlineStr">
        <is>
          <t>08.4.03.02-0004</t>
        </is>
      </c>
      <c r="D126" s="316" t="inlineStr">
        <is>
          <t>Сталь арматурная, горячекатаная, гладкая, класс А-I, диаметр 12 мм</t>
        </is>
      </c>
      <c r="E126" s="317" t="inlineStr">
        <is>
          <t>т</t>
        </is>
      </c>
      <c r="F126" s="317" t="n">
        <v>2.1804856</v>
      </c>
      <c r="G126" s="316" t="n">
        <v>6509.41</v>
      </c>
      <c r="H126" s="276">
        <f>ROUND(F126*G126,2)</f>
        <v/>
      </c>
      <c r="I126" s="287" t="n"/>
    </row>
    <row r="127">
      <c r="A127" s="283" t="n">
        <v>112</v>
      </c>
      <c r="B127" s="368" t="n"/>
      <c r="C127" s="317" t="inlineStr">
        <is>
          <t>20.2.11.01-0012</t>
        </is>
      </c>
      <c r="D127" s="316" t="inlineStr">
        <is>
          <t>Распорка дистанционная глухая РГ-4-600</t>
        </is>
      </c>
      <c r="E127" s="317" t="inlineStr">
        <is>
          <t>шт</t>
        </is>
      </c>
      <c r="F127" s="317" t="n">
        <v>357.38</v>
      </c>
      <c r="G127" s="316" t="n">
        <v>38.51</v>
      </c>
      <c r="H127" s="276">
        <f>ROUND(F127*G127,2)</f>
        <v/>
      </c>
      <c r="I127" s="287" t="n"/>
    </row>
    <row r="128" ht="38.25" customHeight="1" s="296">
      <c r="A128" s="283" t="n">
        <v>113</v>
      </c>
      <c r="B128" s="368" t="n"/>
      <c r="C128" s="317" t="inlineStr">
        <is>
          <t>23.5.01.08-0043</t>
        </is>
      </c>
      <c r="D128" s="316" t="inlineStr">
        <is>
          <t>Трубы стальные электросварные прямошовные и спиральношовные, класс прочности К38, наружный диаметр 720 мм, толщина стенки 10 мм</t>
        </is>
      </c>
      <c r="E128" s="317" t="inlineStr">
        <is>
          <t>м</t>
        </is>
      </c>
      <c r="F128" s="317" t="n">
        <v>10.2204</v>
      </c>
      <c r="G128" s="316" t="n">
        <v>1279</v>
      </c>
      <c r="H128" s="276">
        <f>ROUND(F128*G128,2)</f>
        <v/>
      </c>
      <c r="I128" s="287" t="n"/>
    </row>
    <row r="129">
      <c r="A129" s="283" t="n">
        <v>114</v>
      </c>
      <c r="B129" s="368" t="n"/>
      <c r="C129" s="317" t="inlineStr">
        <is>
          <t>12.2.03.11-0023</t>
        </is>
      </c>
      <c r="D129" s="316" t="inlineStr">
        <is>
          <t>Ткань стеклянная конструкционная Т-11</t>
        </is>
      </c>
      <c r="E129" s="317" t="inlineStr">
        <is>
          <t>м2</t>
        </is>
      </c>
      <c r="F129" s="317" t="n">
        <v>484.968</v>
      </c>
      <c r="G129" s="316" t="n">
        <v>20.9</v>
      </c>
      <c r="H129" s="276">
        <f>ROUND(F129*G129,2)</f>
        <v/>
      </c>
      <c r="I129" s="287" t="n"/>
    </row>
    <row r="130" ht="25.5" customHeight="1" s="296">
      <c r="A130" s="283" t="n">
        <v>115</v>
      </c>
      <c r="B130" s="368" t="n"/>
      <c r="C130" s="317" t="inlineStr">
        <is>
          <t>01.7.15.03-0038</t>
        </is>
      </c>
      <c r="D130" s="316" t="inlineStr">
        <is>
          <t>Болты с гайками и шайбами оцинкованные, диаметр 36 мм</t>
        </is>
      </c>
      <c r="E130" s="317" t="inlineStr">
        <is>
          <t>кг</t>
        </is>
      </c>
      <c r="F130" s="317" t="n">
        <v>400.8</v>
      </c>
      <c r="G130" s="316" t="n">
        <v>24.57</v>
      </c>
      <c r="H130" s="276">
        <f>ROUND(F130*G130,2)</f>
        <v/>
      </c>
      <c r="I130" s="287" t="n"/>
    </row>
    <row r="131">
      <c r="A131" s="283" t="n">
        <v>116</v>
      </c>
      <c r="B131" s="368" t="n"/>
      <c r="C131" s="317" t="inlineStr">
        <is>
          <t>14.4.04.09-0016</t>
        </is>
      </c>
      <c r="D131" s="316" t="inlineStr">
        <is>
          <t>Эмаль ХВ-124, голубая</t>
        </is>
      </c>
      <c r="E131" s="317" t="inlineStr">
        <is>
          <t>т</t>
        </is>
      </c>
      <c r="F131" s="317" t="n">
        <v>0.430309568</v>
      </c>
      <c r="G131" s="316" t="n">
        <v>22050.03</v>
      </c>
      <c r="H131" s="276">
        <f>ROUND(F131*G131,2)</f>
        <v/>
      </c>
      <c r="I131" s="287" t="n"/>
    </row>
    <row r="132">
      <c r="A132" s="283" t="n">
        <v>117</v>
      </c>
      <c r="B132" s="368" t="n"/>
      <c r="C132" s="317" t="inlineStr">
        <is>
          <t>01.2.03.07-0023</t>
        </is>
      </c>
      <c r="D132" s="316" t="inlineStr">
        <is>
          <t>Эмульсия битумно-дорожная</t>
        </is>
      </c>
      <c r="E132" s="317" t="inlineStr">
        <is>
          <t>т</t>
        </is>
      </c>
      <c r="F132" s="317" t="n">
        <v>5.4073264</v>
      </c>
      <c r="G132" s="316" t="n">
        <v>1554.2</v>
      </c>
      <c r="H132" s="276">
        <f>ROUND(F132*G132,2)</f>
        <v/>
      </c>
      <c r="I132" s="287" t="n"/>
    </row>
    <row r="133">
      <c r="A133" s="283" t="n">
        <v>118</v>
      </c>
      <c r="B133" s="368" t="n"/>
      <c r="C133" s="317" t="inlineStr">
        <is>
          <t>02.2.05.04-1822</t>
        </is>
      </c>
      <c r="D133" s="316" t="inlineStr">
        <is>
          <t>Щебень М 1000, фракция 40-80(70) мм, группа 2</t>
        </is>
      </c>
      <c r="E133" s="317" t="inlineStr">
        <is>
          <t>м3</t>
        </is>
      </c>
      <c r="F133" s="317" t="n">
        <v>44.3207646</v>
      </c>
      <c r="G133" s="316" t="n">
        <v>155.94</v>
      </c>
      <c r="H133" s="276">
        <f>ROUND(F133*G133,2)</f>
        <v/>
      </c>
      <c r="I133" s="287" t="n"/>
    </row>
    <row r="134" ht="25.5" customHeight="1" s="296">
      <c r="A134" s="283" t="n">
        <v>119</v>
      </c>
      <c r="B134" s="368" t="n"/>
      <c r="C134" s="317" t="inlineStr">
        <is>
          <t>10.1.02.03-0001</t>
        </is>
      </c>
      <c r="D134" s="316" t="inlineStr">
        <is>
          <t>Проволока алюминиевая, марка АМЦ, диаметр 1,4-1,8 мм</t>
        </is>
      </c>
      <c r="E134" s="317" t="inlineStr">
        <is>
          <t>т</t>
        </is>
      </c>
      <c r="F134" s="317" t="n">
        <v>0.20645359636</v>
      </c>
      <c r="G134" s="316" t="n">
        <v>30092.8</v>
      </c>
      <c r="H134" s="276">
        <f>ROUND(F134*G134,2)</f>
        <v/>
      </c>
      <c r="I134" s="287" t="n"/>
    </row>
    <row r="135">
      <c r="A135" s="283" t="n">
        <v>120</v>
      </c>
      <c r="B135" s="368" t="n"/>
      <c r="C135" s="317" t="inlineStr">
        <is>
          <t>01.7.15.03-0042</t>
        </is>
      </c>
      <c r="D135" s="316" t="inlineStr">
        <is>
          <t>Болты с гайками и шайбами строительные</t>
        </is>
      </c>
      <c r="E135" s="317" t="inlineStr">
        <is>
          <t>кг</t>
        </is>
      </c>
      <c r="F135" s="317" t="n">
        <v>662.99</v>
      </c>
      <c r="G135" s="316" t="n">
        <v>9.039999999999999</v>
      </c>
      <c r="H135" s="276">
        <f>ROUND(F135*G135,2)</f>
        <v/>
      </c>
      <c r="I135" s="287" t="n"/>
    </row>
    <row r="136">
      <c r="A136" s="283" t="n">
        <v>121</v>
      </c>
      <c r="B136" s="368" t="n"/>
      <c r="C136" s="317" t="inlineStr">
        <is>
          <t>20.1.02.14-1006</t>
        </is>
      </c>
      <c r="D136" s="316" t="inlineStr">
        <is>
          <t>Серьга СР-12-16</t>
        </is>
      </c>
      <c r="E136" s="317" t="inlineStr">
        <is>
          <t>шт</t>
        </is>
      </c>
      <c r="F136" s="317" t="n">
        <v>404.14</v>
      </c>
      <c r="G136" s="316" t="n">
        <v>13.29</v>
      </c>
      <c r="H136" s="276">
        <f>ROUND(F136*G136,2)</f>
        <v/>
      </c>
      <c r="I136" s="287" t="n"/>
    </row>
    <row r="137" ht="38.25" customHeight="1" s="296">
      <c r="A137" s="283" t="n">
        <v>122</v>
      </c>
      <c r="B137" s="368" t="n"/>
      <c r="C137" s="317" t="inlineStr">
        <is>
          <t>23.3.01.06-0001</t>
        </is>
      </c>
      <c r="D137" s="316" t="inlineStr">
        <is>
          <t>Трубы бурильные из стали группы Д с высаженными внутрь концами и муфты к ним наружный диаметр 73 мм, толщина стенки 7 мм</t>
        </is>
      </c>
      <c r="E137" s="317" t="inlineStr">
        <is>
          <t>м</t>
        </is>
      </c>
      <c r="F137" s="317" t="n">
        <v>25.4244975</v>
      </c>
      <c r="G137" s="316" t="n">
        <v>156.79</v>
      </c>
      <c r="H137" s="276">
        <f>ROUND(F137*G137,2)</f>
        <v/>
      </c>
      <c r="I137" s="287" t="n"/>
    </row>
    <row r="138">
      <c r="A138" s="283" t="n">
        <v>123</v>
      </c>
      <c r="B138" s="368" t="n"/>
      <c r="C138" s="317" t="inlineStr">
        <is>
          <t>08.3.03.04-0012</t>
        </is>
      </c>
      <c r="D138" s="316" t="inlineStr">
        <is>
          <t>Проволока светлая, диаметр 1,1 мм</t>
        </is>
      </c>
      <c r="E138" s="317" t="inlineStr">
        <is>
          <t>т</t>
        </is>
      </c>
      <c r="F138" s="317" t="n">
        <v>0.36406</v>
      </c>
      <c r="G138" s="316" t="n">
        <v>10200</v>
      </c>
      <c r="H138" s="276">
        <f>ROUND(F138*G138,2)</f>
        <v/>
      </c>
      <c r="I138" s="287" t="n"/>
    </row>
    <row r="139">
      <c r="A139" s="283" t="n">
        <v>124</v>
      </c>
      <c r="B139" s="368" t="n"/>
      <c r="C139" s="317" t="inlineStr">
        <is>
          <t>01.2.01.02-0052</t>
        </is>
      </c>
      <c r="D139" s="316" t="inlineStr">
        <is>
          <t>Битумы нефтяные строительные БН-70/30</t>
        </is>
      </c>
      <c r="E139" s="317" t="inlineStr">
        <is>
          <t>т</t>
        </is>
      </c>
      <c r="F139" s="317" t="n">
        <v>2.3156576712</v>
      </c>
      <c r="G139" s="316" t="n">
        <v>1525.98</v>
      </c>
      <c r="H139" s="276">
        <f>ROUND(F139*G139,2)</f>
        <v/>
      </c>
      <c r="I139" s="287" t="n"/>
    </row>
    <row r="140" ht="25.5" customHeight="1" s="296">
      <c r="A140" s="283" t="n">
        <v>125</v>
      </c>
      <c r="B140" s="368" t="n"/>
      <c r="C140" s="317" t="inlineStr">
        <is>
          <t>11.1.03.05-0086</t>
        </is>
      </c>
      <c r="D140" s="316" t="inlineStr">
        <is>
          <t>Доска необрезная, хвойных пород, длина 4-6,5 м, все ширины, толщина 44 мм и более, сорт IV</t>
        </is>
      </c>
      <c r="E140" s="317" t="inlineStr">
        <is>
          <t>м3</t>
        </is>
      </c>
      <c r="F140" s="317" t="n">
        <v>4.5424</v>
      </c>
      <c r="G140" s="316" t="n">
        <v>550</v>
      </c>
      <c r="H140" s="276">
        <f>ROUND(F140*G140,2)</f>
        <v/>
      </c>
      <c r="I140" s="287" t="n"/>
    </row>
    <row r="141">
      <c r="A141" s="283" t="n">
        <v>126</v>
      </c>
      <c r="B141" s="368" t="n"/>
      <c r="C141" s="317" t="inlineStr">
        <is>
          <t>20.1.02.21-0050</t>
        </is>
      </c>
      <c r="D141" s="316" t="inlineStr">
        <is>
          <t>Узел крепления КГП-16-3</t>
        </is>
      </c>
      <c r="E141" s="317" t="inlineStr">
        <is>
          <t>шт</t>
        </is>
      </c>
      <c r="F141" s="317" t="n">
        <v>56.78</v>
      </c>
      <c r="G141" s="316" t="n">
        <v>43.68</v>
      </c>
      <c r="H141" s="276">
        <f>ROUND(F141*G141,2)</f>
        <v/>
      </c>
      <c r="I141" s="287" t="n"/>
    </row>
    <row r="142">
      <c r="A142" s="283" t="n">
        <v>127</v>
      </c>
      <c r="B142" s="368" t="n"/>
      <c r="C142" s="317" t="inlineStr">
        <is>
          <t>14.5.09.11-0102</t>
        </is>
      </c>
      <c r="D142" s="316" t="inlineStr">
        <is>
          <t>Уайт-спирит</t>
        </is>
      </c>
      <c r="E142" s="317" t="inlineStr">
        <is>
          <t>кг</t>
        </is>
      </c>
      <c r="F142" s="317" t="n">
        <v>304.1830852</v>
      </c>
      <c r="G142" s="316" t="n">
        <v>6.67</v>
      </c>
      <c r="H142" s="276">
        <f>ROUND(F142*G142,2)</f>
        <v/>
      </c>
      <c r="I142" s="287" t="n"/>
    </row>
    <row r="143">
      <c r="A143" s="283" t="n">
        <v>128</v>
      </c>
      <c r="B143" s="368" t="n"/>
      <c r="C143" s="317" t="inlineStr">
        <is>
          <t>14.5.09.07-0030</t>
        </is>
      </c>
      <c r="D143" s="316" t="inlineStr">
        <is>
          <t>Растворитель Р-4</t>
        </is>
      </c>
      <c r="E143" s="317" t="inlineStr">
        <is>
          <t>кг</t>
        </is>
      </c>
      <c r="F143" s="317" t="n">
        <v>181.197004</v>
      </c>
      <c r="G143" s="316" t="n">
        <v>9.42</v>
      </c>
      <c r="H143" s="276">
        <f>ROUND(F143*G143,2)</f>
        <v/>
      </c>
      <c r="I143" s="287" t="n"/>
    </row>
    <row r="144">
      <c r="A144" s="283" t="n">
        <v>129</v>
      </c>
      <c r="B144" s="368" t="n"/>
      <c r="C144" s="317" t="inlineStr">
        <is>
          <t>01.7.03.01-0001</t>
        </is>
      </c>
      <c r="D144" s="316" t="inlineStr">
        <is>
          <t>Вода</t>
        </is>
      </c>
      <c r="E144" s="317" t="inlineStr">
        <is>
          <t>м3</t>
        </is>
      </c>
      <c r="F144" s="317" t="n">
        <v>594.3363000000001</v>
      </c>
      <c r="G144" s="316" t="n">
        <v>2.45</v>
      </c>
      <c r="H144" s="276">
        <f>ROUND(F144*G144,2)</f>
        <v/>
      </c>
      <c r="I144" s="287" t="n"/>
    </row>
    <row r="145">
      <c r="A145" s="283" t="n">
        <v>130</v>
      </c>
      <c r="B145" s="368" t="n"/>
      <c r="C145" s="317" t="inlineStr">
        <is>
          <t>01.7.11.07-0032</t>
        </is>
      </c>
      <c r="D145" s="316" t="inlineStr">
        <is>
          <t>Электроды сварочные Э42, диаметр 4 мм</t>
        </is>
      </c>
      <c r="E145" s="317" t="inlineStr">
        <is>
          <t>т</t>
        </is>
      </c>
      <c r="F145" s="317" t="n">
        <v>0.1403468</v>
      </c>
      <c r="G145" s="316" t="n">
        <v>10330.44</v>
      </c>
      <c r="H145" s="276">
        <f>ROUND(F145*G145,2)</f>
        <v/>
      </c>
      <c r="I145" s="287" t="n"/>
    </row>
    <row r="146">
      <c r="A146" s="283" t="n">
        <v>131</v>
      </c>
      <c r="B146" s="368" t="n"/>
      <c r="C146" s="317" t="inlineStr">
        <is>
          <t>02.2.05.04-1782</t>
        </is>
      </c>
      <c r="D146" s="316" t="inlineStr">
        <is>
          <t>Щебень М 1000, фракция 20-40 мм, группа 2</t>
        </is>
      </c>
      <c r="E146" s="317" t="inlineStr">
        <is>
          <t>м3</t>
        </is>
      </c>
      <c r="F146" s="317" t="n">
        <v>7.1453956</v>
      </c>
      <c r="G146" s="316" t="n">
        <v>166.8</v>
      </c>
      <c r="H146" s="276">
        <f>ROUND(F146*G146,2)</f>
        <v/>
      </c>
      <c r="I146" s="287" t="n"/>
    </row>
    <row r="147" ht="38.25" customHeight="1" s="296">
      <c r="A147" s="283" t="n">
        <v>132</v>
      </c>
      <c r="B147" s="368" t="n"/>
      <c r="C147" s="317" t="inlineStr">
        <is>
          <t>23.3.01.02-0001</t>
        </is>
      </c>
      <c r="D147" s="316" t="inlineStr">
        <is>
          <t xml:space="preserve">Трубы бесшовные обсадные под сварку (бурильные) утяжеленные, наружный диаметр 73 мм, толщина стенки 16 мм  </t>
        </is>
      </c>
      <c r="E147" s="317" t="inlineStr">
        <is>
          <t>м</t>
        </is>
      </c>
      <c r="F147" s="317" t="n">
        <v>3.13114646</v>
      </c>
      <c r="G147" s="316" t="n">
        <v>272.02</v>
      </c>
      <c r="H147" s="276">
        <f>ROUND(F147*G147,2)</f>
        <v/>
      </c>
      <c r="I147" s="287" t="n"/>
    </row>
    <row r="148">
      <c r="A148" s="283" t="n">
        <v>133</v>
      </c>
      <c r="B148" s="368" t="n"/>
      <c r="C148" s="317" t="inlineStr">
        <is>
          <t>02.2.05.04-1702</t>
        </is>
      </c>
      <c r="D148" s="316" t="inlineStr">
        <is>
          <t>Щебень М 1000, фракция 10-20 мм, группа 2</t>
        </is>
      </c>
      <c r="E148" s="317" t="inlineStr">
        <is>
          <t>м3</t>
        </is>
      </c>
      <c r="F148" s="317" t="n">
        <v>2.21603823</v>
      </c>
      <c r="G148" s="316" t="n">
        <v>130</v>
      </c>
      <c r="H148" s="276">
        <f>ROUND(F148*G148,2)</f>
        <v/>
      </c>
      <c r="I148" s="287" t="n"/>
    </row>
    <row r="149" ht="25.5" customHeight="1" s="296">
      <c r="A149" s="283" t="n">
        <v>134</v>
      </c>
      <c r="B149" s="368" t="n"/>
      <c r="C149" s="317" t="inlineStr">
        <is>
          <t>11.1.03.01-0080</t>
        </is>
      </c>
      <c r="D149" s="316" t="inlineStr">
        <is>
          <t>Бруски обрезные, хвойных пород, длина 4-6,5 м, ширина 75-150 мм, толщина 40-75 мм, сорт IV</t>
        </is>
      </c>
      <c r="E149" s="317" t="inlineStr">
        <is>
          <t>м3</t>
        </is>
      </c>
      <c r="F149" s="317" t="n">
        <v>0.14001113</v>
      </c>
      <c r="G149" s="316" t="n">
        <v>1055.95</v>
      </c>
      <c r="H149" s="276">
        <f>ROUND(F149*G149,2)</f>
        <v/>
      </c>
      <c r="I149" s="287" t="n"/>
    </row>
    <row r="150" ht="25.5" customHeight="1" s="296">
      <c r="A150" s="283" t="n">
        <v>135</v>
      </c>
      <c r="B150" s="368" t="n"/>
      <c r="C150" s="317" t="inlineStr">
        <is>
          <t>01.2.01.02-0021</t>
        </is>
      </c>
      <c r="D150" s="316" t="inlineStr">
        <is>
          <t>Битумы нефтяные модифицированные для кровельных мастик БНМ-55/60</t>
        </is>
      </c>
      <c r="E150" s="317" t="inlineStr">
        <is>
          <t>т</t>
        </is>
      </c>
      <c r="F150" s="317" t="n">
        <v>0.04761504</v>
      </c>
      <c r="G150" s="316" t="n">
        <v>1595.82</v>
      </c>
      <c r="H150" s="276">
        <f>ROUND(F150*G150,2)</f>
        <v/>
      </c>
      <c r="I150" s="287" t="n"/>
    </row>
    <row r="151">
      <c r="A151" s="283" t="n">
        <v>136</v>
      </c>
      <c r="B151" s="368" t="n"/>
      <c r="C151" s="317" t="inlineStr">
        <is>
          <t>08.1.02.11-0001</t>
        </is>
      </c>
      <c r="D151" s="316" t="inlineStr">
        <is>
          <t>Поковки из квадратных заготовок, масса 1,8 кг</t>
        </is>
      </c>
      <c r="E151" s="317" t="inlineStr">
        <is>
          <t>т</t>
        </is>
      </c>
      <c r="F151" s="317" t="n">
        <v>0.00433228561</v>
      </c>
      <c r="G151" s="316" t="n">
        <v>5990.32</v>
      </c>
      <c r="H151" s="276">
        <f>ROUND(F151*G151,2)</f>
        <v/>
      </c>
      <c r="I151" s="287" t="n"/>
    </row>
    <row r="152">
      <c r="A152" s="283" t="n">
        <v>137</v>
      </c>
      <c r="B152" s="368" t="n"/>
      <c r="C152" s="317" t="inlineStr">
        <is>
          <t>01.7.11.07-0040</t>
        </is>
      </c>
      <c r="D152" s="316" t="inlineStr">
        <is>
          <t>Электроды сварочные Э50А, диаметр 4 мм</t>
        </is>
      </c>
      <c r="E152" s="317" t="inlineStr">
        <is>
          <t>т</t>
        </is>
      </c>
      <c r="F152" s="317" t="n">
        <v>0.00205911</v>
      </c>
      <c r="G152" s="316" t="n">
        <v>11532.85</v>
      </c>
      <c r="H152" s="276">
        <f>ROUND(F152*G152,2)</f>
        <v/>
      </c>
      <c r="I152" s="287" t="n"/>
    </row>
    <row r="153">
      <c r="A153" s="283" t="n">
        <v>138</v>
      </c>
      <c r="B153" s="368" t="n"/>
      <c r="C153" s="317" t="inlineStr">
        <is>
          <t>12.1.02.06-0012</t>
        </is>
      </c>
      <c r="D153" s="316" t="inlineStr">
        <is>
          <t>Рубероид кровельный РКК-350</t>
        </is>
      </c>
      <c r="E153" s="317" t="inlineStr">
        <is>
          <t>м2</t>
        </is>
      </c>
      <c r="F153" s="317" t="n">
        <v>2.896782</v>
      </c>
      <c r="G153" s="316" t="n">
        <v>7.46</v>
      </c>
      <c r="H153" s="276">
        <f>ROUND(F153*G153,2)</f>
        <v/>
      </c>
      <c r="I153" s="287" t="n"/>
    </row>
    <row r="154" ht="25.5" customHeight="1" s="296">
      <c r="A154" s="283" t="n">
        <v>139</v>
      </c>
      <c r="B154" s="368" t="n"/>
      <c r="C154" s="317" t="inlineStr">
        <is>
          <t>11.1.03.01-0079</t>
        </is>
      </c>
      <c r="D154" s="316" t="inlineStr">
        <is>
          <t>Бруски обрезные, хвойных пород, длина 4-6,5 м, ширина 75-150 мм, толщина 40-75 мм, сорт III</t>
        </is>
      </c>
      <c r="E154" s="317" t="inlineStr">
        <is>
          <t>м3</t>
        </is>
      </c>
      <c r="F154" s="317" t="n">
        <v>0.01587168</v>
      </c>
      <c r="G154" s="316" t="n">
        <v>1286.83</v>
      </c>
      <c r="H154" s="276">
        <f>ROUND(F154*G154,2)</f>
        <v/>
      </c>
      <c r="I154" s="287" t="n"/>
    </row>
    <row r="155" ht="38.25" customHeight="1" s="296">
      <c r="A155" s="283" t="n">
        <v>140</v>
      </c>
      <c r="B155" s="368" t="n"/>
      <c r="C155" s="317" t="inlineStr">
        <is>
          <t>14.4.01.20-0001</t>
        </is>
      </c>
      <c r="D155" s="316" t="inlineStr">
        <is>
          <t>Грунт-краска антикоррозионная цинконаполненная на основе цинка и модифицированного химически стойкого каучука</t>
        </is>
      </c>
      <c r="E155" s="317" t="inlineStr">
        <is>
          <t>т</t>
        </is>
      </c>
      <c r="F155" s="317" t="n">
        <v>0.00016032</v>
      </c>
      <c r="G155" s="316" t="n">
        <v>107291.67</v>
      </c>
      <c r="H155" s="276">
        <f>ROUND(F155*G155,2)</f>
        <v/>
      </c>
      <c r="I155" s="287" t="n"/>
    </row>
    <row r="156" s="296">
      <c r="A156" s="283" t="n">
        <v>141</v>
      </c>
      <c r="B156" s="368" t="n"/>
      <c r="C156" s="317" t="inlineStr">
        <is>
          <t>01.7.15.06-0111</t>
        </is>
      </c>
      <c r="D156" s="316" t="inlineStr">
        <is>
          <t>Гвозди строительные</t>
        </is>
      </c>
      <c r="E156" s="317" t="inlineStr">
        <is>
          <t>т</t>
        </is>
      </c>
      <c r="F156" s="317" t="n">
        <v>0.0010316592</v>
      </c>
      <c r="G156" s="316" t="n">
        <v>11978.76</v>
      </c>
      <c r="H156" s="276">
        <f>ROUND(F156*G156,2)</f>
        <v/>
      </c>
      <c r="I156" s="287" t="n"/>
      <c r="J156" s="333" t="n"/>
      <c r="K156" s="333" t="n"/>
      <c r="L156" s="333" t="n"/>
      <c r="M156" s="333" t="n"/>
    </row>
    <row r="157" ht="38.25" customHeight="1" s="296">
      <c r="A157" s="283" t="n">
        <v>142</v>
      </c>
      <c r="B157" s="368" t="n"/>
      <c r="C157" s="317" t="inlineStr">
        <is>
          <t>14.4.01.20-0012</t>
        </is>
      </c>
      <c r="D157" s="316" t="inlineStr">
        <is>
          <t>Грунтовка антикоррозионная цинкнаполненная быстросохнущая, преобразователь ржавчины и окалины</t>
        </is>
      </c>
      <c r="E157" s="317" t="inlineStr">
        <is>
          <t>т</t>
        </is>
      </c>
      <c r="F157" s="317" t="n">
        <v>0.00012024</v>
      </c>
      <c r="G157" s="316" t="n">
        <v>86666.67</v>
      </c>
      <c r="H157" s="276">
        <f>ROUND(F157*G157,2)</f>
        <v/>
      </c>
      <c r="I157" s="287" t="n"/>
      <c r="J157" s="333" t="n"/>
      <c r="K157" s="333" t="n"/>
      <c r="L157" s="333" t="n"/>
      <c r="M157" s="333" t="n"/>
    </row>
    <row r="158" s="296">
      <c r="A158" s="283" t="n">
        <v>143</v>
      </c>
      <c r="B158" s="368" t="n"/>
      <c r="C158" s="317" t="inlineStr">
        <is>
          <t>01.7.15.02-0054</t>
        </is>
      </c>
      <c r="D158" s="316" t="inlineStr">
        <is>
          <t>Болты анкерные оцинкованные</t>
        </is>
      </c>
      <c r="E158" s="317" t="inlineStr">
        <is>
          <t>кг</t>
        </is>
      </c>
      <c r="F158" s="317" t="n">
        <v>0.529056</v>
      </c>
      <c r="G158" s="316" t="n">
        <v>11.52</v>
      </c>
      <c r="H158" s="276">
        <f>ROUND(F158*G158,2)</f>
        <v/>
      </c>
      <c r="I158" s="287" t="n"/>
      <c r="J158" s="333" t="n"/>
      <c r="K158" s="333" t="n"/>
      <c r="L158" s="333" t="n"/>
      <c r="M158" s="333" t="n"/>
    </row>
    <row r="161">
      <c r="B161" s="333" t="inlineStr">
        <is>
          <t>Составил ______________________     А.Р. Маркова</t>
        </is>
      </c>
    </row>
    <row r="162">
      <c r="B162" s="292" t="inlineStr">
        <is>
          <t xml:space="preserve">                         (подпись, инициалы, фамилия)</t>
        </is>
      </c>
    </row>
    <row r="164">
      <c r="B164" s="333" t="inlineStr">
        <is>
          <t>Проверил ______________________        А.В. Костянецкая</t>
        </is>
      </c>
    </row>
    <row r="165">
      <c r="B165" s="292" t="inlineStr">
        <is>
          <t xml:space="preserve">                        (подпись, инициалы, фамилия)</t>
        </is>
      </c>
    </row>
  </sheetData>
  <mergeCells count="15">
    <mergeCell ref="A4:H4"/>
    <mergeCell ref="B9:B10"/>
    <mergeCell ref="A3:H3"/>
    <mergeCell ref="A12:E12"/>
    <mergeCell ref="A29:E29"/>
    <mergeCell ref="C9:C10"/>
    <mergeCell ref="D9:D10"/>
    <mergeCell ref="A7:H7"/>
    <mergeCell ref="A9:A10"/>
    <mergeCell ref="E9:E10"/>
    <mergeCell ref="F9:F10"/>
    <mergeCell ref="C5:H5"/>
    <mergeCell ref="A31:E31"/>
    <mergeCell ref="G9:H9"/>
    <mergeCell ref="A79:E79"/>
  </mergeCells>
  <conditionalFormatting sqref="C134:C158">
    <cfRule type="duplicateValues" priority="1" dxfId="0"/>
  </conditionalFormatting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5" workbookViewId="0">
      <selection activeCell="E56" sqref="E56:E57"/>
    </sheetView>
  </sheetViews>
  <sheetFormatPr baseColWidth="8" defaultRowHeight="15"/>
  <cols>
    <col width="4.140625" customWidth="1" style="296" min="1" max="1"/>
    <col width="36.28515625" customWidth="1" style="296" min="2" max="2"/>
    <col width="18.85546875" customWidth="1" style="296" min="3" max="3"/>
    <col width="18.28515625" customWidth="1" style="296" min="4" max="4"/>
    <col width="18.85546875" customWidth="1" style="296" min="5" max="5"/>
    <col hidden="1" style="296" min="6" max="6"/>
    <col hidden="1" width="13.42578125" customWidth="1" style="296" min="7" max="7"/>
    <col width="9.140625" customWidth="1" style="296" min="8" max="11"/>
    <col width="13.5703125" customWidth="1" style="296" min="12" max="12"/>
    <col width="9.140625" customWidth="1" style="296" min="13" max="13"/>
  </cols>
  <sheetData>
    <row r="1">
      <c r="B1" s="334" t="n"/>
      <c r="C1" s="334" t="n"/>
      <c r="D1" s="334" t="n"/>
      <c r="E1" s="334" t="n"/>
    </row>
    <row r="2">
      <c r="B2" s="334" t="n"/>
      <c r="C2" s="334" t="n"/>
      <c r="D2" s="334" t="n"/>
      <c r="E2" s="397" t="inlineStr">
        <is>
          <t>Приложение № 4</t>
        </is>
      </c>
    </row>
    <row r="3">
      <c r="B3" s="334" t="n"/>
      <c r="C3" s="334" t="n"/>
      <c r="D3" s="334" t="n"/>
      <c r="E3" s="334" t="n"/>
    </row>
    <row r="4">
      <c r="B4" s="334" t="n"/>
      <c r="C4" s="334" t="n"/>
      <c r="D4" s="334" t="n"/>
      <c r="E4" s="334" t="n"/>
    </row>
    <row r="5">
      <c r="B5" s="346" t="inlineStr">
        <is>
          <t>Ресурсная модель</t>
        </is>
      </c>
    </row>
    <row r="6">
      <c r="B6" s="268" t="n"/>
      <c r="C6" s="334" t="n"/>
      <c r="D6" s="334" t="n"/>
      <c r="E6" s="334" t="n"/>
    </row>
    <row r="7" ht="25.5" customHeight="1" s="296">
      <c r="B7" s="359" t="inlineStr">
        <is>
          <t>Наименование разрабатываемого показателя УНЦ — Строительно-монтажные работы ВЛ 0,4-750 кВ без опор и провода. Двухцепная, многогранные опоры 330 кВ.</t>
        </is>
      </c>
    </row>
    <row r="8">
      <c r="B8" s="371" t="inlineStr">
        <is>
          <t>Единица измерения  — 1 км</t>
        </is>
      </c>
    </row>
    <row r="9">
      <c r="B9" s="268" t="n"/>
      <c r="C9" s="334" t="n"/>
      <c r="D9" s="334" t="n"/>
      <c r="E9" s="334" t="n"/>
    </row>
    <row r="10" ht="51" customHeight="1" s="296">
      <c r="B10" s="375" t="inlineStr">
        <is>
          <t>Наименование</t>
        </is>
      </c>
      <c r="C10" s="375" t="inlineStr">
        <is>
          <t>Сметная стоимость в ценах на 01.01.2023
 (руб.)</t>
        </is>
      </c>
      <c r="D10" s="375" t="inlineStr">
        <is>
          <t>Удельный вес, 
(в СМР)</t>
        </is>
      </c>
      <c r="E10" s="375" t="inlineStr">
        <is>
          <t>Удельный вес, % 
(от всего по РМ)</t>
        </is>
      </c>
    </row>
    <row r="11">
      <c r="B11" s="260" t="inlineStr">
        <is>
          <t>Оплата труда рабочих</t>
        </is>
      </c>
      <c r="C11" s="261">
        <f>'Прил.5 Расчет СМР и ОБ'!J14</f>
        <v/>
      </c>
      <c r="D11" s="262">
        <f>C11/$C$24</f>
        <v/>
      </c>
      <c r="E11" s="262">
        <f>C11/$C$40</f>
        <v/>
      </c>
    </row>
    <row r="12">
      <c r="B12" s="260" t="inlineStr">
        <is>
          <t>Эксплуатация машин основных</t>
        </is>
      </c>
      <c r="C12" s="261">
        <f>'Прил.5 Расчет СМР и ОБ'!J27</f>
        <v/>
      </c>
      <c r="D12" s="262">
        <f>C12/$C$24</f>
        <v/>
      </c>
      <c r="E12" s="262">
        <f>C12/$C$40</f>
        <v/>
      </c>
    </row>
    <row r="13">
      <c r="B13" s="260" t="inlineStr">
        <is>
          <t>Эксплуатация машин прочих</t>
        </is>
      </c>
      <c r="C13" s="261">
        <f>'Прил.5 Расчет СМР и ОБ'!J67</f>
        <v/>
      </c>
      <c r="D13" s="262">
        <f>C13/$C$24</f>
        <v/>
      </c>
      <c r="E13" s="262">
        <f>C13/$C$40</f>
        <v/>
      </c>
    </row>
    <row r="14">
      <c r="B14" s="260" t="inlineStr">
        <is>
          <t>ЭКСПЛУАТАЦИЯ МАШИН, ВСЕГО:</t>
        </is>
      </c>
      <c r="C14" s="261">
        <f>C13+C12</f>
        <v/>
      </c>
      <c r="D14" s="262">
        <f>C14/$C$24</f>
        <v/>
      </c>
      <c r="E14" s="262">
        <f>C14/$C$40</f>
        <v/>
      </c>
    </row>
    <row r="15">
      <c r="B15" s="260" t="inlineStr">
        <is>
          <t>в том числе зарплата машинистов</t>
        </is>
      </c>
      <c r="C15" s="261">
        <f>'Прил.5 Расчет СМР и ОБ'!J16</f>
        <v/>
      </c>
      <c r="D15" s="262">
        <f>C15/$C$24</f>
        <v/>
      </c>
      <c r="E15" s="262">
        <f>C15/$C$40</f>
        <v/>
      </c>
    </row>
    <row r="16">
      <c r="B16" s="260" t="inlineStr">
        <is>
          <t>Материалы основные</t>
        </is>
      </c>
      <c r="C16" s="261">
        <f>'Прил.5 Расчет СМР и ОБ'!J86</f>
        <v/>
      </c>
      <c r="D16" s="262">
        <f>C16/$C$24</f>
        <v/>
      </c>
      <c r="E16" s="262">
        <f>C16/$C$40</f>
        <v/>
      </c>
    </row>
    <row r="17">
      <c r="B17" s="260" t="inlineStr">
        <is>
          <t>Материалы прочие</t>
        </is>
      </c>
      <c r="C17" s="261">
        <f>'Прил.5 Расчет СМР и ОБ'!J157</f>
        <v/>
      </c>
      <c r="D17" s="262">
        <f>C17/$C$24</f>
        <v/>
      </c>
      <c r="E17" s="262">
        <f>C17/$C$40</f>
        <v/>
      </c>
      <c r="G17" s="266" t="n"/>
    </row>
    <row r="18">
      <c r="B18" s="260" t="inlineStr">
        <is>
          <t>МАТЕРИАЛЫ, ВСЕГО:</t>
        </is>
      </c>
      <c r="C18" s="261">
        <f>C17+C16</f>
        <v/>
      </c>
      <c r="D18" s="262">
        <f>C18/$C$24</f>
        <v/>
      </c>
      <c r="E18" s="262">
        <f>C18/$C$40</f>
        <v/>
      </c>
    </row>
    <row r="19">
      <c r="B19" s="260" t="inlineStr">
        <is>
          <t>ИТОГО</t>
        </is>
      </c>
      <c r="C19" s="261">
        <f>C18+C14+C11</f>
        <v/>
      </c>
      <c r="D19" s="262" t="n"/>
      <c r="E19" s="260" t="n"/>
    </row>
    <row r="20">
      <c r="B20" s="260" t="inlineStr">
        <is>
          <t>Сметная прибыль, руб.</t>
        </is>
      </c>
      <c r="C20" s="261">
        <f>ROUND(C21*(C11+C15),2)</f>
        <v/>
      </c>
      <c r="D20" s="262">
        <f>C20/$C$24</f>
        <v/>
      </c>
      <c r="E20" s="262">
        <f>C20/$C$40</f>
        <v/>
      </c>
    </row>
    <row r="21">
      <c r="B21" s="260" t="inlineStr">
        <is>
          <t>Сметная прибыль, %</t>
        </is>
      </c>
      <c r="C21" s="265">
        <f>'Прил.5 Расчет СМР и ОБ'!D161</f>
        <v/>
      </c>
      <c r="D21" s="262" t="n"/>
      <c r="E21" s="260" t="n"/>
    </row>
    <row r="22">
      <c r="B22" s="260" t="inlineStr">
        <is>
          <t>Накладные расходы, руб.</t>
        </is>
      </c>
      <c r="C22" s="261">
        <f>ROUND(C23*(C11+C15),2)</f>
        <v/>
      </c>
      <c r="D22" s="262">
        <f>C22/$C$24</f>
        <v/>
      </c>
      <c r="E22" s="262">
        <f>C22/$C$40</f>
        <v/>
      </c>
    </row>
    <row r="23">
      <c r="B23" s="260" t="inlineStr">
        <is>
          <t>Накладные расходы, %</t>
        </is>
      </c>
      <c r="C23" s="265">
        <f>'Прил.5 Расчет СМР и ОБ'!D160</f>
        <v/>
      </c>
      <c r="D23" s="262" t="n"/>
      <c r="E23" s="260" t="n"/>
    </row>
    <row r="24">
      <c r="B24" s="260" t="inlineStr">
        <is>
          <t>ВСЕГО СМР с НР и СП</t>
        </is>
      </c>
      <c r="C24" s="261">
        <f>C19+C20+C22</f>
        <v/>
      </c>
      <c r="D24" s="262">
        <f>C24/$C$24</f>
        <v/>
      </c>
      <c r="E24" s="262">
        <f>C24/$C$40</f>
        <v/>
      </c>
    </row>
    <row r="25" ht="25.5" customHeight="1" s="296">
      <c r="B25" s="260" t="inlineStr">
        <is>
          <t>ВСЕГО стоимость оборудования, в том числе</t>
        </is>
      </c>
      <c r="C25" s="261">
        <f>'Прил.5 Расчет СМР и ОБ'!J73</f>
        <v/>
      </c>
      <c r="D25" s="262" t="n"/>
      <c r="E25" s="262">
        <f>C25/$C$40</f>
        <v/>
      </c>
    </row>
    <row r="26" ht="25.5" customHeight="1" s="296">
      <c r="B26" s="260" t="inlineStr">
        <is>
          <t>стоимость оборудования технологического</t>
        </is>
      </c>
      <c r="C26" s="261">
        <f>'Прил.5 Расчет СМР и ОБ'!J74</f>
        <v/>
      </c>
      <c r="D26" s="262" t="n"/>
      <c r="E26" s="262">
        <f>C26/$C$40</f>
        <v/>
      </c>
    </row>
    <row r="27">
      <c r="B27" s="260" t="inlineStr">
        <is>
          <t>ИТОГО (СМР + ОБОРУДОВАНИЕ)</t>
        </is>
      </c>
      <c r="C27" s="264">
        <f>C24+C25</f>
        <v/>
      </c>
      <c r="D27" s="262" t="n"/>
      <c r="E27" s="262">
        <f>C27/$C$40</f>
        <v/>
      </c>
      <c r="G27" s="263" t="n"/>
    </row>
    <row r="28" ht="33" customHeight="1" s="296">
      <c r="B28" s="260" t="inlineStr">
        <is>
          <t>ПРОЧ. ЗАТР., УЧТЕННЫЕ ПОКАЗАТЕЛЕМ,  в том числе</t>
        </is>
      </c>
      <c r="C28" s="260" t="n"/>
      <c r="D28" s="260" t="n"/>
      <c r="E28" s="260" t="n"/>
    </row>
    <row r="29" ht="25.5" customHeight="1" s="296">
      <c r="B29" s="260" t="inlineStr">
        <is>
          <t>Временные здания и сооружения - 3,3%</t>
        </is>
      </c>
      <c r="C29" s="264">
        <f>ROUND(C24*3.3%,2)</f>
        <v/>
      </c>
      <c r="D29" s="260" t="n"/>
      <c r="E29" s="262" t="n">
        <v>0.033</v>
      </c>
    </row>
    <row r="30" ht="38.25" customHeight="1" s="296">
      <c r="B30" s="260" t="inlineStr">
        <is>
          <t>Дополнительные затраты при производстве строительно-монтажных работ в зимнее время - 1,0%</t>
        </is>
      </c>
      <c r="C30" s="264">
        <f>ROUND((C24+C29)*1%,2)</f>
        <v/>
      </c>
      <c r="D30" s="260" t="n"/>
      <c r="E30" s="262" t="n">
        <v>0.01</v>
      </c>
    </row>
    <row r="31">
      <c r="B31" s="260" t="inlineStr">
        <is>
          <t>Пусконаладочные работы</t>
        </is>
      </c>
      <c r="C31" s="264" t="n">
        <v>0</v>
      </c>
      <c r="D31" s="260" t="n"/>
      <c r="E31" s="262">
        <f>C31/$C$40</f>
        <v/>
      </c>
    </row>
    <row r="32" ht="25.5" customHeight="1" s="296">
      <c r="B32" s="260" t="inlineStr">
        <is>
          <t>Затраты по перевозке работников к месту работы и обратно</t>
        </is>
      </c>
      <c r="C32" s="264" t="n">
        <v>0</v>
      </c>
      <c r="D32" s="260" t="n"/>
      <c r="E32" s="262">
        <f>C32/$C$40</f>
        <v/>
      </c>
    </row>
    <row r="33" ht="25.5" customHeight="1" s="296">
      <c r="B33" s="260" t="inlineStr">
        <is>
          <t>Затраты, связанные с осуществлением работ вахтовым методом</t>
        </is>
      </c>
      <c r="C33" s="264">
        <f>ROUND(C27*0%,2)</f>
        <v/>
      </c>
      <c r="D33" s="260" t="n"/>
      <c r="E33" s="262">
        <f>C33/$C$40</f>
        <v/>
      </c>
    </row>
    <row r="34" ht="51" customHeight="1" s="296">
      <c r="B34" s="260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4" t="n">
        <v>0</v>
      </c>
      <c r="D34" s="260" t="n"/>
      <c r="E34" s="262">
        <f>C34/$C$40</f>
        <v/>
      </c>
    </row>
    <row r="35" ht="76.5" customHeight="1" s="296">
      <c r="B35" s="260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4">
        <f>ROUND(C27*0%,2)</f>
        <v/>
      </c>
      <c r="D35" s="260" t="n"/>
      <c r="E35" s="262">
        <f>C35/$C$40</f>
        <v/>
      </c>
    </row>
    <row r="36" ht="25.5" customHeight="1" s="296">
      <c r="B36" s="260" t="inlineStr">
        <is>
          <t>Строительный контроль и содержание службы заказчика - 2,14%</t>
        </is>
      </c>
      <c r="C36" s="264">
        <f>ROUND((C27+C32+C33+C34+C35+C29+C31+C30)*2.14%,2)</f>
        <v/>
      </c>
      <c r="D36" s="260" t="n"/>
      <c r="E36" s="262">
        <f>C36/$C$40</f>
        <v/>
      </c>
      <c r="G36" s="271" t="n"/>
      <c r="L36" s="263" t="n"/>
    </row>
    <row r="37">
      <c r="B37" s="260" t="inlineStr">
        <is>
          <t>Авторский надзор - 0,2%</t>
        </is>
      </c>
      <c r="C37" s="264">
        <f>ROUND((C27+C32+C33+C34+C35+C29+C31+C30)*0.2%,2)</f>
        <v/>
      </c>
      <c r="D37" s="260" t="n"/>
      <c r="E37" s="262">
        <f>C37/$C$40</f>
        <v/>
      </c>
      <c r="G37" s="169" t="n"/>
      <c r="L37" s="263" t="n"/>
    </row>
    <row r="38" ht="38.25" customHeight="1" s="296">
      <c r="B38" s="260" t="inlineStr">
        <is>
          <t>ИТОГО (СМР+ОБОРУДОВАНИЕ+ПРОЧ. ЗАТР., УЧТЕННЫЕ ПОКАЗАТЕЛЕМ)</t>
        </is>
      </c>
      <c r="C38" s="261">
        <f>C27+C32+C33+C34+C35+C29+C31+C30+C36+C37</f>
        <v/>
      </c>
      <c r="D38" s="260" t="n"/>
      <c r="E38" s="262">
        <f>C38/$C$40</f>
        <v/>
      </c>
    </row>
    <row r="39" ht="13.5" customHeight="1" s="296">
      <c r="B39" s="260" t="inlineStr">
        <is>
          <t>Непредвиденные расходы</t>
        </is>
      </c>
      <c r="C39" s="261">
        <f>ROUND(C38*3%,2)</f>
        <v/>
      </c>
      <c r="D39" s="260" t="n"/>
      <c r="E39" s="262">
        <f>C39/$C$38</f>
        <v/>
      </c>
    </row>
    <row r="40">
      <c r="B40" s="260" t="inlineStr">
        <is>
          <t>ВСЕГО:</t>
        </is>
      </c>
      <c r="C40" s="261">
        <f>C39+C38</f>
        <v/>
      </c>
      <c r="D40" s="260" t="n"/>
      <c r="E40" s="262">
        <f>C40/$C$40</f>
        <v/>
      </c>
    </row>
    <row r="41">
      <c r="B41" s="260" t="inlineStr">
        <is>
          <t>ИТОГО ПОКАЗАТЕЛЬ НА ЕД. ИЗМ.</t>
        </is>
      </c>
      <c r="C41" s="261">
        <f>C40/'Прил.5 Расчет СМР и ОБ'!E164</f>
        <v/>
      </c>
      <c r="D41" s="260" t="n"/>
      <c r="E41" s="260" t="n"/>
    </row>
    <row r="42">
      <c r="B42" s="335" t="n"/>
      <c r="C42" s="334" t="n"/>
      <c r="D42" s="334" t="n"/>
      <c r="E42" s="334" t="n"/>
    </row>
    <row r="43">
      <c r="B43" s="335" t="inlineStr">
        <is>
          <t>Составил ____________________________  А.Р. Маркова</t>
        </is>
      </c>
      <c r="C43" s="334" t="n"/>
      <c r="D43" s="334" t="n"/>
      <c r="E43" s="334" t="n"/>
    </row>
    <row r="44">
      <c r="B44" s="335" t="inlineStr">
        <is>
          <t xml:space="preserve">(должность, подпись, инициалы, фамилия) </t>
        </is>
      </c>
      <c r="C44" s="334" t="n"/>
      <c r="D44" s="334" t="n"/>
      <c r="E44" s="334" t="n"/>
    </row>
    <row r="45">
      <c r="B45" s="335" t="n"/>
      <c r="C45" s="334" t="n"/>
      <c r="D45" s="334" t="n"/>
      <c r="E45" s="334" t="n"/>
    </row>
    <row r="46">
      <c r="B46" s="335" t="inlineStr">
        <is>
          <t>Проверил ____________________________ А.В. Костянецкая</t>
        </is>
      </c>
      <c r="C46" s="334" t="n"/>
      <c r="D46" s="334" t="n"/>
      <c r="E46" s="334" t="n"/>
    </row>
    <row r="47">
      <c r="B47" s="371" t="inlineStr">
        <is>
          <t>(должность, подпись, инициалы, фамилия)</t>
        </is>
      </c>
      <c r="D47" s="334" t="n"/>
      <c r="E47" s="334" t="n"/>
    </row>
    <row r="49">
      <c r="B49" s="334" t="n"/>
      <c r="C49" s="334" t="n"/>
      <c r="D49" s="334" t="n"/>
      <c r="E49" s="334" t="n"/>
    </row>
    <row r="50">
      <c r="B50" s="334" t="n"/>
      <c r="C50" s="334" t="n"/>
      <c r="D50" s="334" t="n"/>
      <c r="E50" s="334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170"/>
  <sheetViews>
    <sheetView tabSelected="1" view="pageBreakPreview" zoomScale="85" workbookViewId="0">
      <selection activeCell="R24" sqref="R24"/>
    </sheetView>
  </sheetViews>
  <sheetFormatPr baseColWidth="8" defaultColWidth="9.140625" defaultRowHeight="15" outlineLevelRow="1"/>
  <cols>
    <col width="5.7109375" customWidth="1" style="329" min="1" max="1"/>
    <col width="22.5703125" customWidth="1" style="329" min="2" max="2"/>
    <col width="39.140625" customWidth="1" style="329" min="3" max="3"/>
    <col width="10.7109375" customWidth="1" style="329" min="4" max="4"/>
    <col width="14.140625" customWidth="1" style="329" min="5" max="5"/>
    <col width="14.5703125" customWidth="1" style="329" min="6" max="6"/>
    <col width="14" customWidth="1" style="329" min="7" max="7"/>
    <col width="12.7109375" customWidth="1" style="329" min="8" max="8"/>
    <col width="13.85546875" customWidth="1" style="329" min="9" max="9"/>
    <col width="17.5703125" customWidth="1" style="329" min="10" max="10"/>
    <col width="10.85546875" customWidth="1" style="329" min="11" max="11"/>
    <col width="13.85546875" customWidth="1" style="329" min="12" max="12"/>
    <col width="9.140625" customWidth="1" style="296" min="13" max="13"/>
  </cols>
  <sheetData>
    <row r="1" s="296">
      <c r="A1" s="329" t="n"/>
      <c r="B1" s="329" t="n"/>
      <c r="C1" s="329" t="n"/>
      <c r="D1" s="329" t="n"/>
      <c r="E1" s="329" t="n"/>
      <c r="F1" s="329" t="n"/>
      <c r="G1" s="329" t="n"/>
      <c r="H1" s="329" t="n"/>
      <c r="I1" s="329" t="n"/>
      <c r="J1" s="329" t="n"/>
      <c r="K1" s="329" t="n"/>
      <c r="L1" s="329" t="n"/>
      <c r="M1" s="329" t="n"/>
      <c r="N1" s="329" t="n"/>
    </row>
    <row r="2" ht="15.75" customHeight="1" s="296">
      <c r="A2" s="329" t="n"/>
      <c r="B2" s="329" t="n"/>
      <c r="C2" s="329" t="n"/>
      <c r="D2" s="329" t="n"/>
      <c r="E2" s="329" t="n"/>
      <c r="F2" s="329" t="n"/>
      <c r="G2" s="329" t="n"/>
      <c r="H2" s="372" t="inlineStr">
        <is>
          <t>Приложение №5</t>
        </is>
      </c>
      <c r="K2" s="329" t="n"/>
      <c r="L2" s="329" t="n"/>
      <c r="M2" s="329" t="n"/>
      <c r="N2" s="329" t="n"/>
    </row>
    <row r="3" s="296">
      <c r="A3" s="329" t="n"/>
      <c r="B3" s="329" t="n"/>
      <c r="C3" s="329" t="n"/>
      <c r="D3" s="329" t="n"/>
      <c r="E3" s="329" t="n"/>
      <c r="F3" s="329" t="n"/>
      <c r="G3" s="329" t="n"/>
      <c r="H3" s="329" t="n"/>
      <c r="I3" s="329" t="n"/>
      <c r="J3" s="329" t="n"/>
      <c r="K3" s="329" t="n"/>
      <c r="L3" s="329" t="n"/>
      <c r="M3" s="329" t="n"/>
      <c r="N3" s="329" t="n"/>
    </row>
    <row r="4" ht="12.75" customFormat="1" customHeight="1" s="334">
      <c r="A4" s="346" t="inlineStr">
        <is>
          <t>Расчет стоимости СМР и оборудования</t>
        </is>
      </c>
    </row>
    <row r="5" ht="12.75" customFormat="1" customHeight="1" s="334">
      <c r="A5" s="346" t="n"/>
      <c r="B5" s="346" t="n"/>
      <c r="C5" s="404" t="n"/>
      <c r="D5" s="346" t="n"/>
      <c r="E5" s="346" t="n"/>
      <c r="F5" s="346" t="n"/>
      <c r="G5" s="346" t="n"/>
      <c r="H5" s="346" t="n"/>
      <c r="I5" s="346" t="n"/>
      <c r="J5" s="346" t="n"/>
    </row>
    <row r="6" ht="27" customFormat="1" customHeight="1" s="334">
      <c r="A6" s="288" t="inlineStr">
        <is>
          <t>Наименование разрабатываемого показателя УНЦ</t>
        </is>
      </c>
      <c r="B6" s="227" t="n"/>
      <c r="C6" s="227" t="n"/>
      <c r="D6" s="349" t="inlineStr">
        <is>
          <t>Строительно-монтажные работы ВЛ 0,4-750 кВ без опор и провода. Двухцепная, многогранные опоры 330 кВ.</t>
        </is>
      </c>
    </row>
    <row r="7" ht="12.75" customFormat="1" customHeight="1" s="334">
      <c r="A7" s="349" t="inlineStr">
        <is>
          <t>Единица измерения  — 1 км</t>
        </is>
      </c>
      <c r="I7" s="359" t="n"/>
      <c r="J7" s="359" t="n"/>
    </row>
    <row r="8" ht="13.5" customFormat="1" customHeight="1" s="334">
      <c r="A8" s="349" t="n"/>
    </row>
    <row r="9" ht="27" customHeight="1" s="296">
      <c r="A9" s="375" t="inlineStr">
        <is>
          <t>№ пп.</t>
        </is>
      </c>
      <c r="B9" s="375" t="inlineStr">
        <is>
          <t>Код ресурса</t>
        </is>
      </c>
      <c r="C9" s="375" t="inlineStr">
        <is>
          <t>Наименование</t>
        </is>
      </c>
      <c r="D9" s="375" t="inlineStr">
        <is>
          <t>Ед. изм.</t>
        </is>
      </c>
      <c r="E9" s="375" t="inlineStr">
        <is>
          <t>Кол-во единиц по проектным данным</t>
        </is>
      </c>
      <c r="F9" s="375" t="inlineStr">
        <is>
          <t>Сметная стоимость в ценах на 01.01.2000 (руб.)</t>
        </is>
      </c>
      <c r="G9" s="448" t="n"/>
      <c r="H9" s="375" t="inlineStr">
        <is>
          <t>Удельный вес, %</t>
        </is>
      </c>
      <c r="I9" s="375" t="inlineStr">
        <is>
          <t>Сметная стоимость в ценах на 01.01.2023 (руб.)</t>
        </is>
      </c>
      <c r="J9" s="448" t="n"/>
      <c r="K9" s="329" t="n"/>
      <c r="L9" s="329" t="n"/>
      <c r="M9" s="329" t="n"/>
      <c r="N9" s="329" t="n"/>
    </row>
    <row r="10" ht="28.5" customHeight="1" s="296">
      <c r="A10" s="450" t="n"/>
      <c r="B10" s="450" t="n"/>
      <c r="C10" s="450" t="n"/>
      <c r="D10" s="450" t="n"/>
      <c r="E10" s="450" t="n"/>
      <c r="F10" s="375" t="inlineStr">
        <is>
          <t>на ед. изм.</t>
        </is>
      </c>
      <c r="G10" s="375" t="inlineStr">
        <is>
          <t>общая</t>
        </is>
      </c>
      <c r="H10" s="450" t="n"/>
      <c r="I10" s="375" t="inlineStr">
        <is>
          <t>на ед. изм.</t>
        </is>
      </c>
      <c r="J10" s="375" t="inlineStr">
        <is>
          <t>общая</t>
        </is>
      </c>
      <c r="K10" s="329" t="n"/>
      <c r="L10" s="329" t="n"/>
      <c r="M10" s="329" t="n"/>
      <c r="N10" s="329" t="n"/>
    </row>
    <row r="11" s="296">
      <c r="A11" s="375" t="n">
        <v>1</v>
      </c>
      <c r="B11" s="375" t="n">
        <v>2</v>
      </c>
      <c r="C11" s="375" t="n">
        <v>3</v>
      </c>
      <c r="D11" s="375" t="n">
        <v>4</v>
      </c>
      <c r="E11" s="375" t="n">
        <v>5</v>
      </c>
      <c r="F11" s="375" t="n">
        <v>6</v>
      </c>
      <c r="G11" s="375" t="n">
        <v>7</v>
      </c>
      <c r="H11" s="375" t="n">
        <v>8</v>
      </c>
      <c r="I11" s="376" t="n">
        <v>9</v>
      </c>
      <c r="J11" s="376" t="n">
        <v>10</v>
      </c>
      <c r="K11" s="329" t="n"/>
      <c r="L11" s="329" t="n"/>
      <c r="M11" s="329" t="n"/>
      <c r="N11" s="329" t="n"/>
    </row>
    <row r="12">
      <c r="A12" s="375" t="n"/>
      <c r="B12" s="382" t="inlineStr">
        <is>
          <t>Затраты труда рабочих-строителей</t>
        </is>
      </c>
      <c r="C12" s="447" t="n"/>
      <c r="D12" s="447" t="n"/>
      <c r="E12" s="447" t="n"/>
      <c r="F12" s="447" t="n"/>
      <c r="G12" s="447" t="n"/>
      <c r="H12" s="448" t="n"/>
      <c r="I12" s="218" t="n"/>
      <c r="J12" s="218" t="n"/>
    </row>
    <row r="13" ht="25.5" customHeight="1" s="296">
      <c r="A13" s="375" t="n">
        <v>1</v>
      </c>
      <c r="B13" s="339" t="inlineStr">
        <is>
          <t>1-3-4</t>
        </is>
      </c>
      <c r="C13" s="383" t="inlineStr">
        <is>
          <t>Затраты труда рабочих-строителей среднего разряда (3,4)</t>
        </is>
      </c>
      <c r="D13" s="375" t="inlineStr">
        <is>
          <t>чел.-ч.</t>
        </is>
      </c>
      <c r="E13" s="342" t="n">
        <v>53966.200802676</v>
      </c>
      <c r="F13" s="224" t="n">
        <v>8.970000000000001</v>
      </c>
      <c r="G13" s="224">
        <f>Прил.3!H12</f>
        <v/>
      </c>
      <c r="H13" s="289">
        <f>G13/G14</f>
        <v/>
      </c>
      <c r="I13" s="224">
        <f>ФОТр.тек.!E13</f>
        <v/>
      </c>
      <c r="J13" s="224">
        <f>ROUND(I13*E13,2)</f>
        <v/>
      </c>
    </row>
    <row r="14" ht="25.5" customFormat="1" customHeight="1" s="329">
      <c r="A14" s="375" t="n"/>
      <c r="B14" s="375" t="n"/>
      <c r="C14" s="382" t="inlineStr">
        <is>
          <t>Итого по разделу "Затраты труда рабочих-строителей"</t>
        </is>
      </c>
      <c r="D14" s="375" t="inlineStr">
        <is>
          <t>чел.-ч.</t>
        </is>
      </c>
      <c r="E14" s="342" t="n">
        <v>53966.200802676</v>
      </c>
      <c r="F14" s="224" t="n"/>
      <c r="G14" s="224">
        <f>SUM(G13:G13)</f>
        <v/>
      </c>
      <c r="H14" s="386" t="n">
        <v>1</v>
      </c>
      <c r="I14" s="218" t="n"/>
      <c r="J14" s="224">
        <f>SUM(J13:J13)</f>
        <v/>
      </c>
      <c r="K14" s="329" t="n"/>
    </row>
    <row r="15" ht="14.25" customFormat="1" customHeight="1" s="329">
      <c r="A15" s="375" t="n"/>
      <c r="B15" s="383" t="inlineStr">
        <is>
          <t>Затраты труда машинистов</t>
        </is>
      </c>
      <c r="C15" s="447" t="n"/>
      <c r="D15" s="447" t="n"/>
      <c r="E15" s="447" t="n"/>
      <c r="F15" s="447" t="n"/>
      <c r="G15" s="447" t="n"/>
      <c r="H15" s="448" t="n"/>
      <c r="I15" s="218" t="n"/>
      <c r="J15" s="218" t="n"/>
    </row>
    <row r="16" ht="14.25" customFormat="1" customHeight="1" s="329">
      <c r="A16" s="375" t="n">
        <v>2</v>
      </c>
      <c r="B16" s="375" t="n">
        <v>2</v>
      </c>
      <c r="C16" s="383" t="inlineStr">
        <is>
          <t>Затраты труда машинистов</t>
        </is>
      </c>
      <c r="D16" s="375" t="inlineStr">
        <is>
          <t>чел.-ч.</t>
        </is>
      </c>
      <c r="E16" s="342" t="n">
        <v>10212.0667</v>
      </c>
      <c r="F16" s="224" t="n">
        <v>19.931571657283</v>
      </c>
      <c r="G16" s="224">
        <f>Прил.3!H29</f>
        <v/>
      </c>
      <c r="H16" s="386" t="n">
        <v>1</v>
      </c>
      <c r="I16" s="224">
        <f>ROUND(F16*Прил.10!D11,2)</f>
        <v/>
      </c>
      <c r="J16" s="224">
        <f>ROUND(I16*E16,2)</f>
        <v/>
      </c>
      <c r="K16" s="329" t="n"/>
    </row>
    <row r="17" ht="14.25" customFormat="1" customHeight="1" s="329">
      <c r="A17" s="375" t="n"/>
      <c r="B17" s="382" t="inlineStr">
        <is>
          <t>Машины и механизмы</t>
        </is>
      </c>
      <c r="C17" s="447" t="n"/>
      <c r="D17" s="447" t="n"/>
      <c r="E17" s="447" t="n"/>
      <c r="F17" s="447" t="n"/>
      <c r="G17" s="447" t="n"/>
      <c r="H17" s="448" t="n"/>
      <c r="I17" s="218" t="n"/>
      <c r="J17" s="218" t="n"/>
    </row>
    <row r="18" ht="14.25" customFormat="1" customHeight="1" s="329">
      <c r="A18" s="375" t="n"/>
      <c r="B18" s="383" t="inlineStr">
        <is>
          <t>Основные машины и механизмы</t>
        </is>
      </c>
      <c r="C18" s="447" t="n"/>
      <c r="D18" s="447" t="n"/>
      <c r="E18" s="447" t="n"/>
      <c r="F18" s="447" t="n"/>
      <c r="G18" s="447" t="n"/>
      <c r="H18" s="448" t="n"/>
      <c r="I18" s="218" t="n"/>
      <c r="J18" s="218" t="n"/>
    </row>
    <row r="19" ht="25.5" customFormat="1" customHeight="1" s="329">
      <c r="A19" s="375" t="n">
        <v>3</v>
      </c>
      <c r="B19" s="330" t="inlineStr">
        <is>
          <t>91.06.06-014</t>
        </is>
      </c>
      <c r="C19" s="331" t="inlineStr">
        <is>
          <t>Автогидроподъемники, высота подъема 28 м</t>
        </is>
      </c>
      <c r="D19" s="330" t="inlineStr">
        <is>
          <t>маш.-ч.</t>
        </is>
      </c>
      <c r="E19" s="332" t="n">
        <v>2098.8177236</v>
      </c>
      <c r="F19" s="331" t="n">
        <v>243.49</v>
      </c>
      <c r="G19" s="224">
        <f>ROUND(E19*F19,2)</f>
        <v/>
      </c>
      <c r="H19" s="289">
        <f>G19/$G$68</f>
        <v/>
      </c>
      <c r="I19" s="224">
        <f>ROUND(F19*Прил.10!$D$12,2)</f>
        <v/>
      </c>
      <c r="J19" s="224">
        <f>ROUND(I19*E19,2)</f>
        <v/>
      </c>
      <c r="K19" s="329" t="n"/>
    </row>
    <row r="20" ht="51" customFormat="1" customHeight="1" s="329">
      <c r="A20" s="375" t="n">
        <v>4</v>
      </c>
      <c r="B20" s="330" t="inlineStr">
        <is>
          <t>91.04.01-077</t>
        </is>
      </c>
      <c r="C20" s="331" t="inlineStr">
        <is>
          <t>Установки и агрегаты буровые на базе автомобилей глубина бурения до 200 м, грузоподъемность до 4 т</t>
        </is>
      </c>
      <c r="D20" s="330" t="inlineStr">
        <is>
          <t>маш.-ч.</t>
        </is>
      </c>
      <c r="E20" s="332" t="n">
        <v>2154.4232627</v>
      </c>
      <c r="F20" s="331" t="n">
        <v>219.85</v>
      </c>
      <c r="G20" s="224">
        <f>ROUND(E20*F20,2)</f>
        <v/>
      </c>
      <c r="H20" s="289">
        <f>G20/$G$68</f>
        <v/>
      </c>
      <c r="I20" s="224">
        <f>ROUND(F20*Прил.10!$D$12,2)</f>
        <v/>
      </c>
      <c r="J20" s="224">
        <f>ROUND(I20*E20,2)</f>
        <v/>
      </c>
      <c r="K20" s="329" t="n"/>
    </row>
    <row r="21" ht="25.5" customFormat="1" customHeight="1" s="329">
      <c r="A21" s="375" t="n">
        <v>5</v>
      </c>
      <c r="B21" s="330" t="inlineStr">
        <is>
          <t>91.05.05-016</t>
        </is>
      </c>
      <c r="C21" s="331" t="inlineStr">
        <is>
          <t>Краны на автомобильном ходу, грузоподъемность 25 т</t>
        </is>
      </c>
      <c r="D21" s="330" t="inlineStr">
        <is>
          <t>маш.-ч.</t>
        </is>
      </c>
      <c r="E21" s="332" t="n">
        <v>992.7688078</v>
      </c>
      <c r="F21" s="331" t="n">
        <v>476.43</v>
      </c>
      <c r="G21" s="224">
        <f>ROUND(E21*F21,2)</f>
        <v/>
      </c>
      <c r="H21" s="289">
        <f>G21/$G$68</f>
        <v/>
      </c>
      <c r="I21" s="224">
        <f>ROUND(F21*Прил.10!$D$12,2)</f>
        <v/>
      </c>
      <c r="J21" s="224">
        <f>ROUND(I21*E21,2)</f>
        <v/>
      </c>
      <c r="K21" s="329" t="n"/>
    </row>
    <row r="22" ht="25.5" customFormat="1" customHeight="1" s="329">
      <c r="A22" s="375" t="n">
        <v>6</v>
      </c>
      <c r="B22" s="330" t="inlineStr">
        <is>
          <t>91.11.02-021</t>
        </is>
      </c>
      <c r="C22" s="331" t="inlineStr">
        <is>
          <t>Комплексы для монтажа проводов методом "под тяжением"</t>
        </is>
      </c>
      <c r="D22" s="330" t="inlineStr">
        <is>
          <t>маш.-ч.</t>
        </is>
      </c>
      <c r="E22" s="332" t="n">
        <v>507.051579</v>
      </c>
      <c r="F22" s="331" t="n">
        <v>637.76</v>
      </c>
      <c r="G22" s="224">
        <f>ROUND(E22*F22,2)</f>
        <v/>
      </c>
      <c r="H22" s="289">
        <f>G22/$G$68</f>
        <v/>
      </c>
      <c r="I22" s="224">
        <f>ROUND(F22*Прил.10!$D$12,2)</f>
        <v/>
      </c>
      <c r="J22" s="224">
        <f>ROUND(I22*E22,2)</f>
        <v/>
      </c>
      <c r="K22" s="329" t="n"/>
    </row>
    <row r="23" ht="25.5" customFormat="1" customHeight="1" s="329">
      <c r="A23" s="375" t="n">
        <v>7</v>
      </c>
      <c r="B23" s="330" t="inlineStr">
        <is>
          <t>91.01.05-085</t>
        </is>
      </c>
      <c r="C23" s="331" t="inlineStr">
        <is>
          <t>Экскаваторы одноковшовые дизельные на гусеничном ходу, емкость ковша 0,5 м3</t>
        </is>
      </c>
      <c r="D23" s="330" t="inlineStr">
        <is>
          <t>маш.-ч.</t>
        </is>
      </c>
      <c r="E23" s="332" t="n">
        <v>2263.9852326</v>
      </c>
      <c r="F23" s="331" t="n">
        <v>100</v>
      </c>
      <c r="G23" s="224">
        <f>ROUND(E23*F23,2)</f>
        <v/>
      </c>
      <c r="H23" s="289">
        <f>G23/$G$68</f>
        <v/>
      </c>
      <c r="I23" s="224">
        <f>ROUND(F23*Прил.10!$D$12,2)</f>
        <v/>
      </c>
      <c r="J23" s="224">
        <f>ROUND(I23*E23,2)</f>
        <v/>
      </c>
      <c r="K23" s="329" t="n"/>
    </row>
    <row r="24" ht="38.25" customFormat="1" customHeight="1" s="329">
      <c r="A24" s="375" t="n">
        <v>8</v>
      </c>
      <c r="B24" s="330" t="inlineStr">
        <is>
          <t>91.15.02-029</t>
        </is>
      </c>
      <c r="C24" s="331" t="inlineStr">
        <is>
          <t>Тракторы на гусеничном ходу с лебедкой 132 кВт (180 л.с.)</t>
        </is>
      </c>
      <c r="D24" s="330" t="inlineStr">
        <is>
          <t>маш.-ч.</t>
        </is>
      </c>
      <c r="E24" s="332" t="n">
        <v>1003.7760784</v>
      </c>
      <c r="F24" s="331" t="n">
        <v>147.43</v>
      </c>
      <c r="G24" s="224">
        <f>ROUND(E24*F24,2)</f>
        <v/>
      </c>
      <c r="H24" s="289">
        <f>G24/$G$68</f>
        <v/>
      </c>
      <c r="I24" s="224">
        <f>ROUND(F24*Прил.10!$D$12,2)</f>
        <v/>
      </c>
      <c r="J24" s="224">
        <f>ROUND(I24*E24,2)</f>
        <v/>
      </c>
      <c r="K24" s="329" t="n"/>
    </row>
    <row r="25" ht="25.5" customFormat="1" customHeight="1" s="329">
      <c r="A25" s="375" t="n">
        <v>9</v>
      </c>
      <c r="B25" s="330" t="inlineStr">
        <is>
          <t>91.18.01-007</t>
        </is>
      </c>
      <c r="C25" s="331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25" s="330" t="inlineStr">
        <is>
          <t>маш.-ч.</t>
        </is>
      </c>
      <c r="E25" s="332" t="n">
        <v>1531.2368161104</v>
      </c>
      <c r="F25" s="331" t="n">
        <v>90</v>
      </c>
      <c r="G25" s="224">
        <f>ROUND(E25*F25,2)</f>
        <v/>
      </c>
      <c r="H25" s="289">
        <f>G25/$G$68</f>
        <v/>
      </c>
      <c r="I25" s="224">
        <f>ROUND(F25*Прил.10!$D$12,2)</f>
        <v/>
      </c>
      <c r="J25" s="224">
        <f>ROUND(I25*E25,2)</f>
        <v/>
      </c>
      <c r="K25" s="329" t="n"/>
    </row>
    <row r="26" ht="25.5" customFormat="1" customHeight="1" s="329">
      <c r="A26" s="375" t="n">
        <v>10</v>
      </c>
      <c r="B26" s="330" t="inlineStr">
        <is>
          <t>91.19.06-011</t>
        </is>
      </c>
      <c r="C26" s="331" t="inlineStr">
        <is>
          <t>Насосы грязевые, подача 23,4-65,3 м3/ч, давление нагнетания 15,7-5,88 МПа (160-60 кгс/см2)</t>
        </is>
      </c>
      <c r="D26" s="330" t="inlineStr">
        <is>
          <t>маш.-ч.</t>
        </is>
      </c>
      <c r="E26" s="332" t="n">
        <v>2011.6385132</v>
      </c>
      <c r="F26" s="331" t="n">
        <v>32.71</v>
      </c>
      <c r="G26" s="224">
        <f>ROUND(E26*F26,2)</f>
        <v/>
      </c>
      <c r="H26" s="289">
        <f>G26/$G$68</f>
        <v/>
      </c>
      <c r="I26" s="224">
        <f>ROUND(F26*Прил.10!$D$12,2)</f>
        <v/>
      </c>
      <c r="J26" s="224">
        <f>ROUND(I26*E26,2)</f>
        <v/>
      </c>
      <c r="K26" s="329" t="n"/>
    </row>
    <row r="27" ht="14.25" customFormat="1" customHeight="1" s="329">
      <c r="A27" s="375" t="n"/>
      <c r="B27" s="375" t="n"/>
      <c r="C27" s="383" t="inlineStr">
        <is>
          <t>Итого основные машины и механизмы</t>
        </is>
      </c>
      <c r="D27" s="375" t="n"/>
      <c r="E27" s="342" t="n"/>
      <c r="F27" s="224" t="n"/>
      <c r="G27" s="224">
        <f>SUM(G19:G26)</f>
        <v/>
      </c>
      <c r="H27" s="386">
        <f>G27/G68</f>
        <v/>
      </c>
      <c r="I27" s="219" t="n"/>
      <c r="J27" s="224">
        <f>SUM(J19:J26)</f>
        <v/>
      </c>
      <c r="K27" s="329" t="n"/>
    </row>
    <row r="28" hidden="1" outlineLevel="1" ht="14.25" customFormat="1" customHeight="1" s="329">
      <c r="A28" s="375" t="n">
        <v>11</v>
      </c>
      <c r="B28" s="330" t="inlineStr">
        <is>
          <t>91.07.08-011</t>
        </is>
      </c>
      <c r="C28" s="331" t="inlineStr">
        <is>
          <t>Глиномешалки, 4 м3</t>
        </is>
      </c>
      <c r="D28" s="330" t="inlineStr">
        <is>
          <t>маш.-ч.</t>
        </is>
      </c>
      <c r="E28" s="332" t="n">
        <v>2011.6385132</v>
      </c>
      <c r="F28" s="331" t="n">
        <v>26.52</v>
      </c>
      <c r="G28" s="224">
        <f>ROUND(E28*F28,2)</f>
        <v/>
      </c>
      <c r="H28" s="289">
        <f>G28/$G$68</f>
        <v/>
      </c>
      <c r="I28" s="224">
        <f>ROUND(F28*Прил.10!$D$12,2)</f>
        <v/>
      </c>
      <c r="J28" s="224">
        <f>ROUND(I28*E28,2)</f>
        <v/>
      </c>
      <c r="K28" s="329" t="n"/>
    </row>
    <row r="29" hidden="1" outlineLevel="1" ht="25.5" customFormat="1" customHeight="1" s="329">
      <c r="A29" s="375" t="n">
        <v>12</v>
      </c>
      <c r="B29" s="330" t="inlineStr">
        <is>
          <t>91.05.08-007</t>
        </is>
      </c>
      <c r="C29" s="331" t="inlineStr">
        <is>
          <t>Краны на пневмоколесном ходу, грузоподъемность 25 т</t>
        </is>
      </c>
      <c r="D29" s="330" t="inlineStr">
        <is>
          <t>маш.-ч.</t>
        </is>
      </c>
      <c r="E29" s="332" t="n">
        <v>494.39348</v>
      </c>
      <c r="F29" s="331" t="n">
        <v>102.51</v>
      </c>
      <c r="G29" s="224">
        <f>ROUND(E29*F29,2)</f>
        <v/>
      </c>
      <c r="H29" s="289">
        <f>G29/$G$68</f>
        <v/>
      </c>
      <c r="I29" s="224">
        <f>ROUND(F29*Прил.10!$D$12,2)</f>
        <v/>
      </c>
      <c r="J29" s="224">
        <f>ROUND(I29*E29,2)</f>
        <v/>
      </c>
      <c r="K29" s="329" t="n"/>
    </row>
    <row r="30" hidden="1" outlineLevel="1" ht="25.5" customFormat="1" customHeight="1" s="329">
      <c r="A30" s="375" t="n">
        <v>13</v>
      </c>
      <c r="B30" s="330" t="inlineStr">
        <is>
          <t>91.13.03-111</t>
        </is>
      </c>
      <c r="C30" s="331" t="inlineStr">
        <is>
          <t>Спецавтомобили-вездеходы, грузоподъемность до 8 т</t>
        </is>
      </c>
      <c r="D30" s="330" t="inlineStr">
        <is>
          <t>маш.-ч.</t>
        </is>
      </c>
      <c r="E30" s="332" t="n">
        <v>230.398544</v>
      </c>
      <c r="F30" s="331" t="n">
        <v>189.96</v>
      </c>
      <c r="G30" s="224">
        <f>ROUND(E30*F30,2)</f>
        <v/>
      </c>
      <c r="H30" s="289">
        <f>G30/$G$68</f>
        <v/>
      </c>
      <c r="I30" s="224">
        <f>ROUND(F30*Прил.10!$D$12,2)</f>
        <v/>
      </c>
      <c r="J30" s="224">
        <f>ROUND(I30*E30,2)</f>
        <v/>
      </c>
      <c r="K30" s="329" t="n"/>
    </row>
    <row r="31" hidden="1" outlineLevel="1" ht="14.25" customFormat="1" customHeight="1" s="329">
      <c r="A31" s="375" t="n">
        <v>14</v>
      </c>
      <c r="B31" s="330" t="inlineStr">
        <is>
          <t>91.01.01-034</t>
        </is>
      </c>
      <c r="C31" s="331" t="inlineStr">
        <is>
          <t>Бульдозеры, мощность 59 кВт (80 л.с.)</t>
        </is>
      </c>
      <c r="D31" s="330" t="inlineStr">
        <is>
          <t>маш.-ч.</t>
        </is>
      </c>
      <c r="E31" s="332" t="n">
        <v>662.7712150368</v>
      </c>
      <c r="F31" s="331" t="n">
        <v>59.47</v>
      </c>
      <c r="G31" s="224">
        <f>ROUND(E31*F31,2)</f>
        <v/>
      </c>
      <c r="H31" s="289">
        <f>G31/$G$68</f>
        <v/>
      </c>
      <c r="I31" s="224">
        <f>ROUND(F31*Прил.10!$D$12,2)</f>
        <v/>
      </c>
      <c r="J31" s="224">
        <f>ROUND(I31*E31,2)</f>
        <v/>
      </c>
      <c r="K31" s="329" t="n"/>
    </row>
    <row r="32" hidden="1" outlineLevel="1" ht="14.25" customFormat="1" customHeight="1" s="329">
      <c r="A32" s="375" t="n">
        <v>15</v>
      </c>
      <c r="B32" s="330" t="inlineStr">
        <is>
          <t>91.14.04-002</t>
        </is>
      </c>
      <c r="C32" s="331" t="inlineStr">
        <is>
          <t>Тягачи седельные, грузоподъемность 15 т</t>
        </is>
      </c>
      <c r="D32" s="330" t="inlineStr">
        <is>
          <t>маш.-ч.</t>
        </is>
      </c>
      <c r="E32" s="332" t="n">
        <v>378.515854</v>
      </c>
      <c r="F32" s="331" t="n">
        <v>94.38</v>
      </c>
      <c r="G32" s="224">
        <f>ROUND(E32*F32,2)</f>
        <v/>
      </c>
      <c r="H32" s="289">
        <f>G32/$G$68</f>
        <v/>
      </c>
      <c r="I32" s="224">
        <f>ROUND(F32*Прил.10!$D$12,2)</f>
        <v/>
      </c>
      <c r="J32" s="224">
        <f>ROUND(I32*E32,2)</f>
        <v/>
      </c>
      <c r="K32" s="329" t="n"/>
    </row>
    <row r="33" hidden="1" outlineLevel="1" ht="38.25" customFormat="1" customHeight="1" s="329">
      <c r="A33" s="375" t="n">
        <v>16</v>
      </c>
      <c r="B33" s="330" t="inlineStr">
        <is>
          <t>91.19.04-004</t>
        </is>
      </c>
      <c r="C33" s="331" t="inlineStr">
        <is>
          <t>Насосы для нагнетания воды, содержащей твердые частицы, подача 45 м3/ч, напор до 55 м</t>
        </is>
      </c>
      <c r="D33" s="330" t="inlineStr">
        <is>
          <t>маш.-ч.</t>
        </is>
      </c>
      <c r="E33" s="332" t="n">
        <v>2011.6385132</v>
      </c>
      <c r="F33" s="331" t="n">
        <v>9.73</v>
      </c>
      <c r="G33" s="224">
        <f>ROUND(E33*F33,2)</f>
        <v/>
      </c>
      <c r="H33" s="289">
        <f>G33/$G$68</f>
        <v/>
      </c>
      <c r="I33" s="224">
        <f>ROUND(F33*Прил.10!$D$12,2)</f>
        <v/>
      </c>
      <c r="J33" s="224">
        <f>ROUND(I33*E33,2)</f>
        <v/>
      </c>
      <c r="K33" s="329" t="n"/>
    </row>
    <row r="34" hidden="1" outlineLevel="1" ht="51" customFormat="1" customHeight="1" s="329">
      <c r="A34" s="375" t="n">
        <v>17</v>
      </c>
      <c r="B34" s="330" t="inlineStr">
        <is>
          <t>91.05.14-516</t>
        </is>
      </c>
      <c r="C34" s="331" t="inlineStr">
        <is>
          <t>Краны прицепные пневмоколесные на гусеничном тракторе с лебедкой, мощность 132 кВт (180 л.с.), без учета трактора, грузоподъемность 25 т</t>
        </is>
      </c>
      <c r="D34" s="330" t="inlineStr">
        <is>
          <t>маш.-ч.</t>
        </is>
      </c>
      <c r="E34" s="332" t="n">
        <v>224.303712</v>
      </c>
      <c r="F34" s="331" t="n">
        <v>77.64</v>
      </c>
      <c r="G34" s="224">
        <f>ROUND(E34*F34,2)</f>
        <v/>
      </c>
      <c r="H34" s="289">
        <f>G34/$G$68</f>
        <v/>
      </c>
      <c r="I34" s="224">
        <f>ROUND(F34*Прил.10!$D$12,2)</f>
        <v/>
      </c>
      <c r="J34" s="224">
        <f>ROUND(I34*E34,2)</f>
        <v/>
      </c>
      <c r="K34" s="329" t="n"/>
    </row>
    <row r="35" hidden="1" outlineLevel="1" ht="25.5" customFormat="1" customHeight="1" s="329">
      <c r="A35" s="375" t="n">
        <v>18</v>
      </c>
      <c r="B35" s="330" t="inlineStr">
        <is>
          <t>91.05.14-023</t>
        </is>
      </c>
      <c r="C35" s="331" t="inlineStr">
        <is>
          <t>Краны на тракторе, мощность 121 кВт (165 л.с.), грузоподъемность 5 т</t>
        </is>
      </c>
      <c r="D35" s="330" t="inlineStr">
        <is>
          <t>маш.-ч.</t>
        </is>
      </c>
      <c r="E35" s="332" t="n">
        <v>88.88140799999999</v>
      </c>
      <c r="F35" s="331" t="n">
        <v>182.8</v>
      </c>
      <c r="G35" s="224">
        <f>ROUND(E35*F35,2)</f>
        <v/>
      </c>
      <c r="H35" s="289">
        <f>G35/$G$68</f>
        <v/>
      </c>
      <c r="I35" s="224">
        <f>ROUND(F35*Прил.10!$D$12,2)</f>
        <v/>
      </c>
      <c r="J35" s="224">
        <f>ROUND(I35*E35,2)</f>
        <v/>
      </c>
      <c r="K35" s="329" t="n"/>
    </row>
    <row r="36" hidden="1" outlineLevel="1" ht="25.5" customFormat="1" customHeight="1" s="329">
      <c r="A36" s="375" t="n">
        <v>19</v>
      </c>
      <c r="B36" s="330" t="inlineStr">
        <is>
          <t>91.14.03-002</t>
        </is>
      </c>
      <c r="C36" s="331" t="inlineStr">
        <is>
          <t>Автомобили-самосвалы, грузоподъемность до 10 т</t>
        </is>
      </c>
      <c r="D36" s="330" t="inlineStr">
        <is>
          <t>маш.-ч.</t>
        </is>
      </c>
      <c r="E36" s="332" t="n">
        <v>182.4308</v>
      </c>
      <c r="F36" s="331" t="n">
        <v>87.48999999999999</v>
      </c>
      <c r="G36" s="224">
        <f>ROUND(E36*F36,2)</f>
        <v/>
      </c>
      <c r="H36" s="289">
        <f>G36/$G$68</f>
        <v/>
      </c>
      <c r="I36" s="224">
        <f>ROUND(F36*Прил.10!$D$12,2)</f>
        <v/>
      </c>
      <c r="J36" s="224">
        <f>ROUND(I36*E36,2)</f>
        <v/>
      </c>
      <c r="K36" s="329" t="n"/>
    </row>
    <row r="37" hidden="1" outlineLevel="1" ht="25.5" customFormat="1" customHeight="1" s="329">
      <c r="A37" s="375" t="n">
        <v>20</v>
      </c>
      <c r="B37" s="330" t="inlineStr">
        <is>
          <t>91.05.06-012</t>
        </is>
      </c>
      <c r="C37" s="331" t="inlineStr">
        <is>
          <t>Краны на гусеничном ходу, грузоподъемность до 16 т</t>
        </is>
      </c>
      <c r="D37" s="330" t="inlineStr">
        <is>
          <t>маш.-ч.</t>
        </is>
      </c>
      <c r="E37" s="332" t="n">
        <v>155.5939</v>
      </c>
      <c r="F37" s="331" t="n">
        <v>96.89</v>
      </c>
      <c r="G37" s="224">
        <f>ROUND(E37*F37,2)</f>
        <v/>
      </c>
      <c r="H37" s="289">
        <f>G37/$G$68</f>
        <v/>
      </c>
      <c r="I37" s="224">
        <f>ROUND(F37*Прил.10!$D$12,2)</f>
        <v/>
      </c>
      <c r="J37" s="224">
        <f>ROUND(I37*E37,2)</f>
        <v/>
      </c>
      <c r="K37" s="329" t="n"/>
    </row>
    <row r="38" hidden="1" outlineLevel="1" ht="25.5" customFormat="1" customHeight="1" s="329">
      <c r="A38" s="375" t="n">
        <v>21</v>
      </c>
      <c r="B38" s="330" t="inlineStr">
        <is>
          <t>91.04.01-032</t>
        </is>
      </c>
      <c r="C38" s="331" t="inlineStr">
        <is>
          <t>Машины бурильно-крановые глубина бурения 1,5-3 м, мощность 66 кВт (90 л.с.)</t>
        </is>
      </c>
      <c r="D38" s="330" t="inlineStr">
        <is>
          <t>маш.-ч.</t>
        </is>
      </c>
      <c r="E38" s="332" t="n">
        <v>77.655</v>
      </c>
      <c r="F38" s="331" t="n">
        <v>140.95</v>
      </c>
      <c r="G38" s="224">
        <f>ROUND(E38*F38,2)</f>
        <v/>
      </c>
      <c r="H38" s="289">
        <f>G38/$G$68</f>
        <v/>
      </c>
      <c r="I38" s="224">
        <f>ROUND(F38*Прил.10!$D$12,2)</f>
        <v/>
      </c>
      <c r="J38" s="224">
        <f>ROUND(I38*E38,2)</f>
        <v/>
      </c>
      <c r="K38" s="329" t="n"/>
    </row>
    <row r="39" hidden="1" outlineLevel="1" ht="14.25" customFormat="1" customHeight="1" s="329">
      <c r="A39" s="375" t="n">
        <v>22</v>
      </c>
      <c r="B39" s="330" t="inlineStr">
        <is>
          <t>91.21.22-447</t>
        </is>
      </c>
      <c r="C39" s="331" t="inlineStr">
        <is>
          <t>Установки электрометаллизационные</t>
        </is>
      </c>
      <c r="D39" s="330" t="inlineStr">
        <is>
          <t>маш.-ч.</t>
        </is>
      </c>
      <c r="E39" s="332" t="n">
        <v>128.52078184</v>
      </c>
      <c r="F39" s="331" t="n">
        <v>74.23999999999999</v>
      </c>
      <c r="G39" s="224">
        <f>ROUND(E39*F39,2)</f>
        <v/>
      </c>
      <c r="H39" s="289">
        <f>G39/$G$68</f>
        <v/>
      </c>
      <c r="I39" s="224">
        <f>ROUND(F39*Прил.10!$D$12,2)</f>
        <v/>
      </c>
      <c r="J39" s="224">
        <f>ROUND(I39*E39,2)</f>
        <v/>
      </c>
      <c r="K39" s="329" t="n"/>
    </row>
    <row r="40" hidden="1" outlineLevel="1" ht="25.5" customFormat="1" customHeight="1" s="329">
      <c r="A40" s="375" t="n">
        <v>23</v>
      </c>
      <c r="B40" s="330" t="inlineStr">
        <is>
          <t>91.10.05-001</t>
        </is>
      </c>
      <c r="C40" s="331" t="inlineStr">
        <is>
          <t>Трубоукладчики для труб диаметром 800-1000 мм, грузоподъемность 35 т</t>
        </is>
      </c>
      <c r="D40" s="330" t="inlineStr">
        <is>
          <t>маш.-ч.</t>
        </is>
      </c>
      <c r="E40" s="332" t="n">
        <v>46.2924</v>
      </c>
      <c r="F40" s="331" t="n">
        <v>175.36</v>
      </c>
      <c r="G40" s="224">
        <f>ROUND(E40*F40,2)</f>
        <v/>
      </c>
      <c r="H40" s="289">
        <f>G40/$G$68</f>
        <v/>
      </c>
      <c r="I40" s="224">
        <f>ROUND(F40*Прил.10!$D$12,2)</f>
        <v/>
      </c>
      <c r="J40" s="224">
        <f>ROUND(I40*E40,2)</f>
        <v/>
      </c>
      <c r="K40" s="329" t="n"/>
    </row>
    <row r="41" hidden="1" outlineLevel="1" ht="25.5" customFormat="1" customHeight="1" s="329">
      <c r="A41" s="375" t="n">
        <v>24</v>
      </c>
      <c r="B41" s="330" t="inlineStr">
        <is>
          <t>91.14.05-012</t>
        </is>
      </c>
      <c r="C41" s="331" t="inlineStr">
        <is>
          <t>Полуприцепы общего назначения, грузоподъемность 15 т</t>
        </is>
      </c>
      <c r="D41" s="330" t="inlineStr">
        <is>
          <t>маш.-ч.</t>
        </is>
      </c>
      <c r="E41" s="332" t="n">
        <v>378.515854</v>
      </c>
      <c r="F41" s="331" t="n">
        <v>19.76</v>
      </c>
      <c r="G41" s="224">
        <f>ROUND(E41*F41,2)</f>
        <v/>
      </c>
      <c r="H41" s="289">
        <f>G41/$G$68</f>
        <v/>
      </c>
      <c r="I41" s="224">
        <f>ROUND(F41*Прил.10!$D$12,2)</f>
        <v/>
      </c>
      <c r="J41" s="224">
        <f>ROUND(I41*E41,2)</f>
        <v/>
      </c>
      <c r="K41" s="329" t="n"/>
    </row>
    <row r="42" hidden="1" outlineLevel="1" ht="25.5" customFormat="1" customHeight="1" s="329">
      <c r="A42" s="375" t="n">
        <v>25</v>
      </c>
      <c r="B42" s="330" t="inlineStr">
        <is>
          <t>91.14.02-001</t>
        </is>
      </c>
      <c r="C42" s="331" t="inlineStr">
        <is>
          <t>Автомобили бортовые, грузоподъемность до 5 т</t>
        </is>
      </c>
      <c r="D42" s="330" t="inlineStr">
        <is>
          <t>маш.-ч.</t>
        </is>
      </c>
      <c r="E42" s="332" t="n">
        <v>95.958250601</v>
      </c>
      <c r="F42" s="331" t="n">
        <v>65.73</v>
      </c>
      <c r="G42" s="224">
        <f>ROUND(E42*F42,2)</f>
        <v/>
      </c>
      <c r="H42" s="289">
        <f>G42/$G$68</f>
        <v/>
      </c>
      <c r="I42" s="224">
        <f>ROUND(F42*Прил.10!$D$12,2)</f>
        <v/>
      </c>
      <c r="J42" s="224">
        <f>ROUND(I42*E42,2)</f>
        <v/>
      </c>
      <c r="K42" s="329" t="n"/>
    </row>
    <row r="43" hidden="1" outlineLevel="1" ht="25.5" customFormat="1" customHeight="1" s="329">
      <c r="A43" s="375" t="n">
        <v>26</v>
      </c>
      <c r="B43" s="330" t="inlineStr">
        <is>
          <t>91.05.05-015</t>
        </is>
      </c>
      <c r="C43" s="331" t="inlineStr">
        <is>
          <t>Краны на автомобильном ходу, грузоподъемность 16 т</t>
        </is>
      </c>
      <c r="D43" s="330" t="inlineStr">
        <is>
          <t>маш.-ч.</t>
        </is>
      </c>
      <c r="E43" s="332" t="n">
        <v>42.602747424</v>
      </c>
      <c r="F43" s="331" t="n">
        <v>115.4</v>
      </c>
      <c r="G43" s="224">
        <f>ROUND(E43*F43,2)</f>
        <v/>
      </c>
      <c r="H43" s="289">
        <f>G43/$G$68</f>
        <v/>
      </c>
      <c r="I43" s="224">
        <f>ROUND(F43*Прил.10!$D$12,2)</f>
        <v/>
      </c>
      <c r="J43" s="224">
        <f>ROUND(I43*E43,2)</f>
        <v/>
      </c>
      <c r="K43" s="329" t="n"/>
    </row>
    <row r="44" hidden="1" outlineLevel="1" ht="25.5" customFormat="1" customHeight="1" s="329">
      <c r="A44" s="375" t="n">
        <v>27</v>
      </c>
      <c r="B44" s="330" t="inlineStr">
        <is>
          <t>91.08.09-023</t>
        </is>
      </c>
      <c r="C44" s="331" t="inlineStr">
        <is>
          <t>Трамбовки пневматические при работе от передвижных компрессорных станций</t>
        </is>
      </c>
      <c r="D44" s="330" t="inlineStr">
        <is>
          <t>маш.-ч.</t>
        </is>
      </c>
      <c r="E44" s="332" t="n">
        <v>6118.74580548</v>
      </c>
      <c r="F44" s="331" t="n">
        <v>0.55</v>
      </c>
      <c r="G44" s="224">
        <f>ROUND(E44*F44,2)</f>
        <v/>
      </c>
      <c r="H44" s="289">
        <f>G44/$G$68</f>
        <v/>
      </c>
      <c r="I44" s="224">
        <f>ROUND(F44*Прил.10!$D$12,2)</f>
        <v/>
      </c>
      <c r="J44" s="224">
        <f>ROUND(I44*E44,2)</f>
        <v/>
      </c>
      <c r="K44" s="329" t="n"/>
    </row>
    <row r="45" hidden="1" outlineLevel="1" ht="38.25" customFormat="1" customHeight="1" s="329">
      <c r="A45" s="375" t="n">
        <v>28</v>
      </c>
      <c r="B45" s="330" t="inlineStr">
        <is>
          <t>91.01.04-003</t>
        </is>
      </c>
      <c r="C45" s="331" t="inlineStr">
        <is>
          <t>Установки однобаровые на тракторе, мощность 79 кВт (108 л.с.), ширина щели 14 см</t>
        </is>
      </c>
      <c r="D45" s="330" t="inlineStr">
        <is>
          <t>маш.-ч.</t>
        </is>
      </c>
      <c r="E45" s="332" t="n">
        <v>23.5649024</v>
      </c>
      <c r="F45" s="331" t="n">
        <v>127.95</v>
      </c>
      <c r="G45" s="224">
        <f>ROUND(E45*F45,2)</f>
        <v/>
      </c>
      <c r="H45" s="289">
        <f>G45/$G$68</f>
        <v/>
      </c>
      <c r="I45" s="224">
        <f>ROUND(F45*Прил.10!$D$12,2)</f>
        <v/>
      </c>
      <c r="J45" s="224">
        <f>ROUND(I45*E45,2)</f>
        <v/>
      </c>
      <c r="K45" s="329" t="n"/>
    </row>
    <row r="46" hidden="1" outlineLevel="1" ht="51" customFormat="1" customHeight="1" s="329">
      <c r="A46" s="375" t="n">
        <v>29</v>
      </c>
      <c r="B46" s="330" t="inlineStr">
        <is>
          <t>91.04.01-021</t>
        </is>
      </c>
      <c r="C46" s="331" t="inlineStr">
        <is>
          <t>Комплекты оборудования шнекового бурения на базе автомобиля глубина бурения до 50 м, грузоподъемность мачты 3,7 т</t>
        </is>
      </c>
      <c r="D46" s="330" t="inlineStr">
        <is>
          <t>маш.-ч.</t>
        </is>
      </c>
      <c r="E46" s="332" t="n">
        <v>20.7309792</v>
      </c>
      <c r="F46" s="331" t="n">
        <v>87.59999999999999</v>
      </c>
      <c r="G46" s="224">
        <f>ROUND(E46*F46,2)</f>
        <v/>
      </c>
      <c r="H46" s="289">
        <f>G46/$G$68</f>
        <v/>
      </c>
      <c r="I46" s="224">
        <f>ROUND(F46*Прил.10!$D$12,2)</f>
        <v/>
      </c>
      <c r="J46" s="224">
        <f>ROUND(I46*E46,2)</f>
        <v/>
      </c>
      <c r="K46" s="329" t="n"/>
    </row>
    <row r="47" hidden="1" outlineLevel="1" ht="38.25" customFormat="1" customHeight="1" s="329">
      <c r="A47" s="375" t="n">
        <v>30</v>
      </c>
      <c r="B47" s="330" t="inlineStr">
        <is>
          <t>91.17.04-036</t>
        </is>
      </c>
      <c r="C47" s="331" t="inlineStr">
        <is>
          <t>Агрегаты сварочные передвижные с дизельным двигателем, номинальный сварочный ток 250-400 А</t>
        </is>
      </c>
      <c r="D47" s="330" t="inlineStr">
        <is>
          <t>маш.-ч.</t>
        </is>
      </c>
      <c r="E47" s="332" t="n">
        <v>111.31533296</v>
      </c>
      <c r="F47" s="331" t="n">
        <v>14</v>
      </c>
      <c r="G47" s="224">
        <f>ROUND(E47*F47,2)</f>
        <v/>
      </c>
      <c r="H47" s="289">
        <f>G47/$G$68</f>
        <v/>
      </c>
      <c r="I47" s="224">
        <f>ROUND(F47*Прил.10!$D$12,2)</f>
        <v/>
      </c>
      <c r="J47" s="224">
        <f>ROUND(I47*E47,2)</f>
        <v/>
      </c>
      <c r="K47" s="329" t="n"/>
    </row>
    <row r="48" hidden="1" outlineLevel="1" ht="14.25" customFormat="1" customHeight="1" s="329">
      <c r="A48" s="375" t="n">
        <v>31</v>
      </c>
      <c r="B48" s="330" t="inlineStr">
        <is>
          <t>91.14.04-001</t>
        </is>
      </c>
      <c r="C48" s="331" t="inlineStr">
        <is>
          <t>Тягачи седельные, грузоподъемность 12 т</t>
        </is>
      </c>
      <c r="D48" s="330" t="inlineStr">
        <is>
          <t>маш.-ч.</t>
        </is>
      </c>
      <c r="E48" s="332" t="n">
        <v>12.859</v>
      </c>
      <c r="F48" s="331" t="n">
        <v>102.8</v>
      </c>
      <c r="G48" s="224">
        <f>ROUND(E48*F48,2)</f>
        <v/>
      </c>
      <c r="H48" s="289">
        <f>G48/$G$68</f>
        <v/>
      </c>
      <c r="I48" s="224">
        <f>ROUND(F48*Прил.10!$D$12,2)</f>
        <v/>
      </c>
      <c r="J48" s="224">
        <f>ROUND(I48*E48,2)</f>
        <v/>
      </c>
      <c r="K48" s="329" t="n"/>
    </row>
    <row r="49" hidden="1" outlineLevel="1" ht="25.5" customFormat="1" customHeight="1" s="329">
      <c r="A49" s="375" t="n">
        <v>32</v>
      </c>
      <c r="B49" s="330" t="inlineStr">
        <is>
          <t>91.08.03-016</t>
        </is>
      </c>
      <c r="C49" s="331" t="inlineStr">
        <is>
          <t>Катки самоходные гладкие вибрационные, масса 8 т</t>
        </is>
      </c>
      <c r="D49" s="330" t="inlineStr">
        <is>
          <t>маш.-ч.</t>
        </is>
      </c>
      <c r="E49" s="332" t="n">
        <v>5.067827424</v>
      </c>
      <c r="F49" s="331" t="n">
        <v>226.54</v>
      </c>
      <c r="G49" s="224">
        <f>ROUND(E49*F49,2)</f>
        <v/>
      </c>
      <c r="H49" s="289">
        <f>G49/$G$68</f>
        <v/>
      </c>
      <c r="I49" s="224">
        <f>ROUND(F49*Прил.10!$D$12,2)</f>
        <v/>
      </c>
      <c r="J49" s="224">
        <f>ROUND(I49*E49,2)</f>
        <v/>
      </c>
      <c r="K49" s="329" t="n"/>
    </row>
    <row r="50" hidden="1" outlineLevel="1" ht="25.5" customFormat="1" customHeight="1" s="329">
      <c r="A50" s="375" t="n">
        <v>33</v>
      </c>
      <c r="B50" s="330" t="inlineStr">
        <is>
          <t>91.21.16-012</t>
        </is>
      </c>
      <c r="C50" s="331" t="inlineStr">
        <is>
          <t>Прессы гидравлические с электроприводом</t>
        </is>
      </c>
      <c r="D50" s="330" t="inlineStr">
        <is>
          <t>маш.-ч.</t>
        </is>
      </c>
      <c r="E50" s="332" t="n">
        <v>1009.9349716</v>
      </c>
      <c r="F50" s="331" t="n">
        <v>1.11</v>
      </c>
      <c r="G50" s="224">
        <f>ROUND(E50*F50,2)</f>
        <v/>
      </c>
      <c r="H50" s="289">
        <f>G50/$G$68</f>
        <v/>
      </c>
      <c r="I50" s="224">
        <f>ROUND(F50*Прил.10!$D$12,2)</f>
        <v/>
      </c>
      <c r="J50" s="224">
        <f>ROUND(I50*E50,2)</f>
        <v/>
      </c>
      <c r="K50" s="329" t="n"/>
    </row>
    <row r="51" hidden="1" outlineLevel="1" ht="14.25" customFormat="1" customHeight="1" s="329">
      <c r="A51" s="375" t="n">
        <v>34</v>
      </c>
      <c r="B51" s="330" t="inlineStr">
        <is>
          <t>91.19.08-008</t>
        </is>
      </c>
      <c r="C51" s="331" t="inlineStr">
        <is>
          <t>Насосы мощностью 7,5 кВт</t>
        </is>
      </c>
      <c r="D51" s="330" t="inlineStr">
        <is>
          <t>маш.-ч.</t>
        </is>
      </c>
      <c r="E51" s="332" t="n">
        <v>136.6895</v>
      </c>
      <c r="F51" s="331" t="n">
        <v>7.66</v>
      </c>
      <c r="G51" s="224">
        <f>ROUND(E51*F51,2)</f>
        <v/>
      </c>
      <c r="H51" s="289">
        <f>G51/$G$68</f>
        <v/>
      </c>
      <c r="I51" s="224">
        <f>ROUND(F51*Прил.10!$D$12,2)</f>
        <v/>
      </c>
      <c r="J51" s="224">
        <f>ROUND(I51*E51,2)</f>
        <v/>
      </c>
      <c r="K51" s="329" t="n"/>
    </row>
    <row r="52" hidden="1" outlineLevel="1" ht="38.25" customFormat="1" customHeight="1" s="329">
      <c r="A52" s="375" t="n">
        <v>35</v>
      </c>
      <c r="B52" s="330" t="inlineStr">
        <is>
          <t>91.06.05-057</t>
        </is>
      </c>
      <c r="C52" s="331" t="inlineStr">
        <is>
          <t>Погрузчики одноковшовые универсальные фронтальные пневмоколесные, грузоподъемность 3 т</t>
        </is>
      </c>
      <c r="D52" s="330" t="inlineStr">
        <is>
          <t>маш.-ч.</t>
        </is>
      </c>
      <c r="E52" s="332" t="n">
        <v>11.301892</v>
      </c>
      <c r="F52" s="331" t="n">
        <v>90.43000000000001</v>
      </c>
      <c r="G52" s="224">
        <f>ROUND(E52*F52,2)</f>
        <v/>
      </c>
      <c r="H52" s="289">
        <f>G52/$G$68</f>
        <v/>
      </c>
      <c r="I52" s="224">
        <f>ROUND(F52*Прил.10!$D$12,2)</f>
        <v/>
      </c>
      <c r="J52" s="224">
        <f>ROUND(I52*E52,2)</f>
        <v/>
      </c>
      <c r="K52" s="329" t="n"/>
    </row>
    <row r="53" hidden="1" outlineLevel="1" ht="14.25" customFormat="1" customHeight="1" s="329">
      <c r="A53" s="375" t="n">
        <v>36</v>
      </c>
      <c r="B53" s="330" t="inlineStr">
        <is>
          <t>91.06.05-011</t>
        </is>
      </c>
      <c r="C53" s="331" t="inlineStr">
        <is>
          <t>Погрузчики, грузоподъемность 5 т</t>
        </is>
      </c>
      <c r="D53" s="330" t="inlineStr">
        <is>
          <t>маш.-ч.</t>
        </is>
      </c>
      <c r="E53" s="332" t="n">
        <v>8.985630056</v>
      </c>
      <c r="F53" s="331" t="n">
        <v>90</v>
      </c>
      <c r="G53" s="224">
        <f>ROUND(E53*F53,2)</f>
        <v/>
      </c>
      <c r="H53" s="289">
        <f>G53/$G$68</f>
        <v/>
      </c>
      <c r="I53" s="224">
        <f>ROUND(F53*Прил.10!$D$12,2)</f>
        <v/>
      </c>
      <c r="J53" s="224">
        <f>ROUND(I53*E53,2)</f>
        <v/>
      </c>
      <c r="K53" s="329" t="n"/>
    </row>
    <row r="54" hidden="1" outlineLevel="1" ht="25.5" customFormat="1" customHeight="1" s="329">
      <c r="A54" s="375" t="n">
        <v>37</v>
      </c>
      <c r="B54" s="330" t="inlineStr">
        <is>
          <t>91.08.03-013</t>
        </is>
      </c>
      <c r="C54" s="331" t="inlineStr">
        <is>
          <t>Катки самоходные гладкие вибрационные, масса 9 т</t>
        </is>
      </c>
      <c r="D54" s="330" t="inlineStr">
        <is>
          <t>маш.-ч.</t>
        </is>
      </c>
      <c r="E54" s="332" t="n">
        <v>2.826393504</v>
      </c>
      <c r="F54" s="331" t="n">
        <v>243.15</v>
      </c>
      <c r="G54" s="224">
        <f>ROUND(E54*F54,2)</f>
        <v/>
      </c>
      <c r="H54" s="289">
        <f>G54/$G$68</f>
        <v/>
      </c>
      <c r="I54" s="224">
        <f>ROUND(F54*Прил.10!$D$12,2)</f>
        <v/>
      </c>
      <c r="J54" s="224">
        <f>ROUND(I54*E54,2)</f>
        <v/>
      </c>
      <c r="K54" s="329" t="n"/>
    </row>
    <row r="55" hidden="1" outlineLevel="1" ht="25.5" customFormat="1" customHeight="1" s="329">
      <c r="A55" s="375" t="n">
        <v>38</v>
      </c>
      <c r="B55" s="330" t="inlineStr">
        <is>
          <t>91.01.02-004</t>
        </is>
      </c>
      <c r="C55" s="331" t="inlineStr">
        <is>
          <t>Автогрейдеры среднего типа, мощность 99 кВт (135 л.с.)</t>
        </is>
      </c>
      <c r="D55" s="330" t="inlineStr">
        <is>
          <t>маш.-ч.</t>
        </is>
      </c>
      <c r="E55" s="332" t="n">
        <v>2.62411776</v>
      </c>
      <c r="F55" s="331" t="n">
        <v>123</v>
      </c>
      <c r="G55" s="224">
        <f>ROUND(E55*F55,2)</f>
        <v/>
      </c>
      <c r="H55" s="289">
        <f>G55/$G$68</f>
        <v/>
      </c>
      <c r="I55" s="224">
        <f>ROUND(F55*Прил.10!$D$12,2)</f>
        <v/>
      </c>
      <c r="J55" s="224">
        <f>ROUND(I55*E55,2)</f>
        <v/>
      </c>
      <c r="K55" s="329" t="n"/>
    </row>
    <row r="56" hidden="1" outlineLevel="1" ht="25.5" customFormat="1" customHeight="1" s="329">
      <c r="A56" s="375" t="n">
        <v>39</v>
      </c>
      <c r="B56" s="330" t="inlineStr">
        <is>
          <t>91.08.09-024</t>
        </is>
      </c>
      <c r="C56" s="331" t="inlineStr">
        <is>
          <t>Трамбовки пневматические при работе от стационарного компрессора</t>
        </is>
      </c>
      <c r="D56" s="330" t="inlineStr">
        <is>
          <t>маш.-ч.</t>
        </is>
      </c>
      <c r="E56" s="332" t="n">
        <v>64.58224</v>
      </c>
      <c r="F56" s="331" t="n">
        <v>4.9</v>
      </c>
      <c r="G56" s="224">
        <f>ROUND(E56*F56,2)</f>
        <v/>
      </c>
      <c r="H56" s="289">
        <f>G56/$G$68</f>
        <v/>
      </c>
      <c r="I56" s="224">
        <f>ROUND(F56*Прил.10!$D$12,2)</f>
        <v/>
      </c>
      <c r="J56" s="224">
        <f>ROUND(I56*E56,2)</f>
        <v/>
      </c>
      <c r="K56" s="329" t="n"/>
    </row>
    <row r="57" hidden="1" outlineLevel="1" ht="38.25" customFormat="1" customHeight="1" s="329">
      <c r="A57" s="375" t="n">
        <v>40</v>
      </c>
      <c r="B57" s="330" t="inlineStr">
        <is>
          <t>91.21.01-012</t>
        </is>
      </c>
      <c r="C57" s="331" t="inlineStr">
        <is>
          <t>Агрегаты окрасочные высокого давления для окраски поверхностей конструкций, мощность 1 кВт</t>
        </is>
      </c>
      <c r="D57" s="330" t="inlineStr">
        <is>
          <t>маш.-ч.</t>
        </is>
      </c>
      <c r="E57" s="332" t="n">
        <v>37.145874128</v>
      </c>
      <c r="F57" s="331" t="n">
        <v>6.82</v>
      </c>
      <c r="G57" s="224">
        <f>ROUND(E57*F57,2)</f>
        <v/>
      </c>
      <c r="H57" s="289">
        <f>G57/$G$68</f>
        <v/>
      </c>
      <c r="I57" s="224">
        <f>ROUND(F57*Прил.10!$D$12,2)</f>
        <v/>
      </c>
      <c r="J57" s="224">
        <f>ROUND(I57*E57,2)</f>
        <v/>
      </c>
      <c r="K57" s="329" t="n"/>
    </row>
    <row r="58" hidden="1" outlineLevel="1" ht="25.5" customFormat="1" customHeight="1" s="329">
      <c r="A58" s="375" t="n">
        <v>41</v>
      </c>
      <c r="B58" s="330" t="inlineStr">
        <is>
          <t>91.08.02-002</t>
        </is>
      </c>
      <c r="C58" s="331" t="inlineStr">
        <is>
          <t>Автогудронаторы, емкость цистерны 7000 л</t>
        </is>
      </c>
      <c r="D58" s="330" t="inlineStr">
        <is>
          <t>маш.-ч.</t>
        </is>
      </c>
      <c r="E58" s="332" t="n">
        <v>1.924353024</v>
      </c>
      <c r="F58" s="331" t="n">
        <v>115.24</v>
      </c>
      <c r="G58" s="224">
        <f>ROUND(E58*F58,2)</f>
        <v/>
      </c>
      <c r="H58" s="289">
        <f>G58/$G$68</f>
        <v/>
      </c>
      <c r="I58" s="224">
        <f>ROUND(F58*Прил.10!$D$12,2)</f>
        <v/>
      </c>
      <c r="J58" s="224">
        <f>ROUND(I58*E58,2)</f>
        <v/>
      </c>
      <c r="K58" s="329" t="n"/>
    </row>
    <row r="59" hidden="1" outlineLevel="1" ht="25.5" customFormat="1" customHeight="1" s="329">
      <c r="A59" s="375" t="n">
        <v>42</v>
      </c>
      <c r="B59" s="330" t="inlineStr">
        <is>
          <t>91.14.05-011</t>
        </is>
      </c>
      <c r="C59" s="331" t="inlineStr">
        <is>
          <t>Полуприцепы общего назначения, грузоподъемность 12 т</t>
        </is>
      </c>
      <c r="D59" s="330" t="inlineStr">
        <is>
          <t>маш.-ч.</t>
        </is>
      </c>
      <c r="E59" s="332" t="n">
        <v>12.859</v>
      </c>
      <c r="F59" s="331" t="n">
        <v>12</v>
      </c>
      <c r="G59" s="224">
        <f>ROUND(E59*F59,2)</f>
        <v/>
      </c>
      <c r="H59" s="289">
        <f>G59/$G$68</f>
        <v/>
      </c>
      <c r="I59" s="224">
        <f>ROUND(F59*Прил.10!$D$12,2)</f>
        <v/>
      </c>
      <c r="J59" s="224">
        <f>ROUND(I59*E59,2)</f>
        <v/>
      </c>
      <c r="K59" s="329" t="n"/>
    </row>
    <row r="60" hidden="1" outlineLevel="1" ht="25.5" customFormat="1" customHeight="1" s="329">
      <c r="A60" s="375" t="n">
        <v>43</v>
      </c>
      <c r="B60" s="330" t="inlineStr">
        <is>
          <t>91.07.08-024</t>
        </is>
      </c>
      <c r="C60" s="331" t="inlineStr">
        <is>
          <t>Растворосмесители передвижные, объем барабана 65 л</t>
        </is>
      </c>
      <c r="D60" s="330" t="inlineStr">
        <is>
          <t>маш.-ч.</t>
        </is>
      </c>
      <c r="E60" s="332" t="n">
        <v>4.8096</v>
      </c>
      <c r="F60" s="331" t="n">
        <v>12</v>
      </c>
      <c r="G60" s="224">
        <f>ROUND(E60*F60,2)</f>
        <v/>
      </c>
      <c r="H60" s="289">
        <f>G60/$G$68</f>
        <v/>
      </c>
      <c r="I60" s="224">
        <f>ROUND(F60*Прил.10!$D$12,2)</f>
        <v/>
      </c>
      <c r="J60" s="224">
        <f>ROUND(I60*E60,2)</f>
        <v/>
      </c>
      <c r="K60" s="329" t="n"/>
    </row>
    <row r="61" hidden="1" outlineLevel="1" ht="14.25" customFormat="1" customHeight="1" s="329">
      <c r="A61" s="375" t="n">
        <v>44</v>
      </c>
      <c r="B61" s="330" t="inlineStr">
        <is>
          <t>91.08.07-011</t>
        </is>
      </c>
      <c r="C61" s="331" t="inlineStr">
        <is>
          <t>Распределители каменной мелочи</t>
        </is>
      </c>
      <c r="D61" s="330" t="inlineStr">
        <is>
          <t>маш.-ч.</t>
        </is>
      </c>
      <c r="E61" s="332" t="n">
        <v>0.278812512</v>
      </c>
      <c r="F61" s="331" t="n">
        <v>116.68</v>
      </c>
      <c r="G61" s="224">
        <f>ROUND(E61*F61,2)</f>
        <v/>
      </c>
      <c r="H61" s="289">
        <f>G61/$G$68</f>
        <v/>
      </c>
      <c r="I61" s="224">
        <f>ROUND(F61*Прил.10!$D$12,2)</f>
        <v/>
      </c>
      <c r="J61" s="224">
        <f>ROUND(I61*E61,2)</f>
        <v/>
      </c>
      <c r="K61" s="329" t="n"/>
    </row>
    <row r="62" hidden="1" outlineLevel="1" ht="25.5" customFormat="1" customHeight="1" s="329">
      <c r="A62" s="375" t="n">
        <v>45</v>
      </c>
      <c r="B62" s="330" t="inlineStr">
        <is>
          <t>91.13.01-051</t>
        </is>
      </c>
      <c r="C62" s="331" t="inlineStr">
        <is>
          <t>Тракторы с щетками дорожными навесными</t>
        </is>
      </c>
      <c r="D62" s="330" t="inlineStr">
        <is>
          <t>маш.-ч.</t>
        </is>
      </c>
      <c r="E62" s="332" t="n">
        <v>0.30068016</v>
      </c>
      <c r="F62" s="331" t="n">
        <v>62.32</v>
      </c>
      <c r="G62" s="224">
        <f>ROUND(E62*F62,2)</f>
        <v/>
      </c>
      <c r="H62" s="289">
        <f>G62/$G$68</f>
        <v/>
      </c>
      <c r="I62" s="224">
        <f>ROUND(F62*Прил.10!$D$12,2)</f>
        <v/>
      </c>
      <c r="J62" s="224">
        <f>ROUND(I62*E62,2)</f>
        <v/>
      </c>
      <c r="K62" s="329" t="n"/>
    </row>
    <row r="63" hidden="1" outlineLevel="1" ht="25.5" customFormat="1" customHeight="1" s="329">
      <c r="A63" s="375" t="n">
        <v>46</v>
      </c>
      <c r="B63" s="330" t="inlineStr">
        <is>
          <t>91.14.02-002</t>
        </is>
      </c>
      <c r="C63" s="331" t="inlineStr">
        <is>
          <t>Автомобили бортовые, грузоподъемность до 8 т</t>
        </is>
      </c>
      <c r="D63" s="330" t="inlineStr">
        <is>
          <t>маш.-ч.</t>
        </is>
      </c>
      <c r="E63" s="332" t="n">
        <v>0.18193648</v>
      </c>
      <c r="F63" s="331" t="n">
        <v>86.01000000000001</v>
      </c>
      <c r="G63" s="224">
        <f>ROUND(E63*F63,2)</f>
        <v/>
      </c>
      <c r="H63" s="289">
        <f>G63/$G$68</f>
        <v/>
      </c>
      <c r="I63" s="224">
        <f>ROUND(F63*Прил.10!$D$12,2)</f>
        <v/>
      </c>
      <c r="J63" s="224">
        <f>ROUND(I63*E63,2)</f>
        <v/>
      </c>
      <c r="K63" s="329" t="n"/>
    </row>
    <row r="64" hidden="1" outlineLevel="1" ht="25.5" customFormat="1" customHeight="1" s="329">
      <c r="A64" s="375" t="n">
        <v>47</v>
      </c>
      <c r="B64" s="330" t="inlineStr">
        <is>
          <t>91.06.03-060</t>
        </is>
      </c>
      <c r="C64" s="331" t="inlineStr">
        <is>
          <t>Лебедки электрические тяговым усилием до 5,79 кН (0,59 т)</t>
        </is>
      </c>
      <c r="D64" s="330" t="inlineStr">
        <is>
          <t>маш.-ч.</t>
        </is>
      </c>
      <c r="E64" s="332" t="n">
        <v>5.245836064</v>
      </c>
      <c r="F64" s="331" t="n">
        <v>2</v>
      </c>
      <c r="G64" s="224">
        <f>ROUND(E64*F64,2)</f>
        <v/>
      </c>
      <c r="H64" s="289">
        <f>G64/$G$68</f>
        <v/>
      </c>
      <c r="I64" s="224">
        <f>ROUND(F64*Прил.10!$D$12,2)</f>
        <v/>
      </c>
      <c r="J64" s="224">
        <f>ROUND(I64*E64,2)</f>
        <v/>
      </c>
      <c r="K64" s="329" t="n"/>
    </row>
    <row r="65" hidden="1" outlineLevel="1" ht="14.25" customFormat="1" customHeight="1" s="329">
      <c r="A65" s="375" t="n">
        <v>48</v>
      </c>
      <c r="B65" s="330" t="inlineStr">
        <is>
          <t>91.08.04-021</t>
        </is>
      </c>
      <c r="C65" s="331" t="inlineStr">
        <is>
          <t>Котлы битумные передвижные 400 л</t>
        </is>
      </c>
      <c r="D65" s="330" t="inlineStr">
        <is>
          <t>маш.-ч.</t>
        </is>
      </c>
      <c r="E65" s="332" t="n">
        <v>0.30011904</v>
      </c>
      <c r="F65" s="331" t="n">
        <v>30.05</v>
      </c>
      <c r="G65" s="224">
        <f>ROUND(E65*F65,2)</f>
        <v/>
      </c>
      <c r="H65" s="289">
        <f>G65/$G$68</f>
        <v/>
      </c>
      <c r="I65" s="224">
        <f>ROUND(F65*Прил.10!$D$12,2)</f>
        <v/>
      </c>
      <c r="J65" s="224">
        <f>ROUND(I65*E65,2)</f>
        <v/>
      </c>
      <c r="K65" s="329" t="n"/>
    </row>
    <row r="66" hidden="1" outlineLevel="1" ht="25.5" customFormat="1" customHeight="1" s="329">
      <c r="A66" s="375" t="n">
        <v>49</v>
      </c>
      <c r="B66" s="330" t="inlineStr">
        <is>
          <t>91.06.03-055</t>
        </is>
      </c>
      <c r="C66" s="331" t="inlineStr">
        <is>
          <t>Лебедки электрические тяговым усилием 19,62 кН (2 т)</t>
        </is>
      </c>
      <c r="D66" s="330" t="inlineStr">
        <is>
          <t>маш.-ч.</t>
        </is>
      </c>
      <c r="E66" s="332" t="n">
        <v>0.21066048</v>
      </c>
      <c r="F66" s="331" t="n">
        <v>6.66</v>
      </c>
      <c r="G66" s="224">
        <f>ROUND(E66*F66,2)</f>
        <v/>
      </c>
      <c r="H66" s="289">
        <f>G66/$G$68</f>
        <v/>
      </c>
      <c r="I66" s="224">
        <f>ROUND(F66*Прил.10!$D$12,2)</f>
        <v/>
      </c>
      <c r="J66" s="224">
        <f>ROUND(I66*E66,2)</f>
        <v/>
      </c>
      <c r="K66" s="329" t="n"/>
    </row>
    <row r="67" collapsed="1" ht="14.25" customFormat="1" customHeight="1" s="329">
      <c r="A67" s="375" t="n"/>
      <c r="B67" s="375" t="n"/>
      <c r="C67" s="383" t="inlineStr">
        <is>
          <t>Итого прочие машины и механизмы</t>
        </is>
      </c>
      <c r="D67" s="375" t="n"/>
      <c r="E67" s="384" t="n"/>
      <c r="F67" s="224" t="n"/>
      <c r="G67" s="219">
        <f>SUM(G28:G66)</f>
        <v/>
      </c>
      <c r="H67" s="289">
        <f>G67/G68</f>
        <v/>
      </c>
      <c r="I67" s="224" t="n"/>
      <c r="J67" s="219">
        <f>SUM(J28:J66)</f>
        <v/>
      </c>
    </row>
    <row r="68" ht="25.5" customFormat="1" customHeight="1" s="329">
      <c r="A68" s="375" t="n"/>
      <c r="B68" s="375" t="n"/>
      <c r="C68" s="382" t="inlineStr">
        <is>
          <t>Итого по разделу «Машины и механизмы»</t>
        </is>
      </c>
      <c r="D68" s="375" t="n"/>
      <c r="E68" s="384" t="n"/>
      <c r="F68" s="224" t="n"/>
      <c r="G68" s="224">
        <f>G67+G27</f>
        <v/>
      </c>
      <c r="H68" s="212" t="n">
        <v>1</v>
      </c>
      <c r="I68" s="213" t="n"/>
      <c r="J68" s="344">
        <f>J67+J27</f>
        <v/>
      </c>
    </row>
    <row r="69" ht="14.25" customFormat="1" customHeight="1" s="329">
      <c r="A69" s="375" t="n"/>
      <c r="B69" s="382" t="inlineStr">
        <is>
          <t>Оборудование</t>
        </is>
      </c>
      <c r="C69" s="447" t="n"/>
      <c r="D69" s="447" t="n"/>
      <c r="E69" s="447" t="n"/>
      <c r="F69" s="447" t="n"/>
      <c r="G69" s="447" t="n"/>
      <c r="H69" s="448" t="n"/>
      <c r="I69" s="218" t="n"/>
      <c r="J69" s="218" t="n"/>
    </row>
    <row r="70">
      <c r="A70" s="375" t="n"/>
      <c r="B70" s="378" t="inlineStr">
        <is>
          <t>Основное оборудование</t>
        </is>
      </c>
      <c r="C70" s="454" t="n"/>
      <c r="D70" s="454" t="n"/>
      <c r="E70" s="454" t="n"/>
      <c r="F70" s="454" t="n"/>
      <c r="G70" s="454" t="n"/>
      <c r="H70" s="455" t="n"/>
      <c r="I70" s="218" t="n"/>
      <c r="J70" s="218" t="n"/>
      <c r="K70" s="329" t="n"/>
      <c r="L70" s="329" t="n"/>
    </row>
    <row r="71">
      <c r="A71" s="375" t="n"/>
      <c r="B71" s="375" t="n"/>
      <c r="C71" s="383" t="inlineStr">
        <is>
          <t>Итого основное оборудование</t>
        </is>
      </c>
      <c r="D71" s="375" t="n"/>
      <c r="E71" s="342" t="n"/>
      <c r="F71" s="385" t="n"/>
      <c r="G71" s="224" t="n">
        <v>0</v>
      </c>
      <c r="H71" s="386" t="n">
        <v>0</v>
      </c>
      <c r="I71" s="219" t="n"/>
      <c r="J71" s="224" t="n">
        <v>0</v>
      </c>
      <c r="K71" s="329" t="n"/>
      <c r="L71" s="329" t="n"/>
    </row>
    <row r="72">
      <c r="A72" s="375" t="n"/>
      <c r="B72" s="375" t="n"/>
      <c r="C72" s="383" t="inlineStr">
        <is>
          <t>Итого прочее оборудование</t>
        </is>
      </c>
      <c r="D72" s="375" t="n"/>
      <c r="E72" s="342" t="n"/>
      <c r="F72" s="385" t="n"/>
      <c r="G72" s="224" t="n">
        <v>0</v>
      </c>
      <c r="H72" s="386" t="n">
        <v>0</v>
      </c>
      <c r="I72" s="219" t="n"/>
      <c r="J72" s="224" t="n">
        <v>0</v>
      </c>
      <c r="K72" s="329" t="n"/>
      <c r="L72" s="329" t="n"/>
    </row>
    <row r="73">
      <c r="A73" s="375" t="n"/>
      <c r="B73" s="375" t="n"/>
      <c r="C73" s="382" t="inlineStr">
        <is>
          <t>Итого по разделу «Оборудование»</t>
        </is>
      </c>
      <c r="D73" s="375" t="n"/>
      <c r="E73" s="384" t="n"/>
      <c r="F73" s="385" t="n"/>
      <c r="G73" s="224">
        <f>G72+G71</f>
        <v/>
      </c>
      <c r="H73" s="386">
        <f>H72+H71</f>
        <v/>
      </c>
      <c r="I73" s="219" t="n"/>
      <c r="J73" s="224">
        <f>J72+J71</f>
        <v/>
      </c>
      <c r="K73" s="329" t="n"/>
      <c r="L73" s="329" t="n"/>
    </row>
    <row r="74" ht="25.5" customHeight="1" s="296">
      <c r="A74" s="375" t="n"/>
      <c r="B74" s="375" t="n"/>
      <c r="C74" s="383" t="inlineStr">
        <is>
          <t>в том числе технологическое оборудование</t>
        </is>
      </c>
      <c r="D74" s="375" t="n"/>
      <c r="E74" s="290" t="n"/>
      <c r="F74" s="385" t="n"/>
      <c r="G74" s="224">
        <f>G73</f>
        <v/>
      </c>
      <c r="H74" s="386" t="n"/>
      <c r="I74" s="219" t="n"/>
      <c r="J74" s="224">
        <f>J73</f>
        <v/>
      </c>
      <c r="K74" s="329" t="n"/>
      <c r="L74" s="329" t="n"/>
    </row>
    <row r="75" ht="14.25" customFormat="1" customHeight="1" s="329">
      <c r="A75" s="375" t="n"/>
      <c r="B75" s="382" t="inlineStr">
        <is>
          <t>Материалы</t>
        </is>
      </c>
      <c r="C75" s="447" t="n"/>
      <c r="D75" s="447" t="n"/>
      <c r="E75" s="447" t="n"/>
      <c r="F75" s="447" t="n"/>
      <c r="G75" s="447" t="n"/>
      <c r="H75" s="448" t="n"/>
      <c r="I75" s="218" t="n"/>
      <c r="J75" s="218" t="n"/>
    </row>
    <row r="76" ht="14.25" customFormat="1" customHeight="1" s="329">
      <c r="A76" s="376" t="n"/>
      <c r="B76" s="378" t="inlineStr">
        <is>
          <t>Основные материалы</t>
        </is>
      </c>
      <c r="C76" s="454" t="n"/>
      <c r="D76" s="454" t="n"/>
      <c r="E76" s="454" t="n"/>
      <c r="F76" s="454" t="n"/>
      <c r="G76" s="454" t="n"/>
      <c r="H76" s="455" t="n"/>
      <c r="I76" s="229" t="n"/>
      <c r="J76" s="229" t="n"/>
    </row>
    <row r="77" ht="14.25" customFormat="1" customHeight="1" s="329">
      <c r="A77" s="375" t="n">
        <v>50</v>
      </c>
      <c r="B77" s="339" t="inlineStr">
        <is>
          <t>БЦ.114.11</t>
        </is>
      </c>
      <c r="C77" s="383" t="inlineStr">
        <is>
          <t>Свая-оболочка для многогранных опор</t>
        </is>
      </c>
      <c r="D77" s="375" t="inlineStr">
        <is>
          <t>т</t>
        </is>
      </c>
      <c r="E77" s="342" t="n">
        <v>1622.382</v>
      </c>
      <c r="F77" s="401" t="n">
        <v>23728.72</v>
      </c>
      <c r="G77" s="344">
        <f>ROUND(F77*E77,2)</f>
        <v/>
      </c>
      <c r="H77" s="345">
        <f>G77/$G$158</f>
        <v/>
      </c>
      <c r="I77" s="344" t="n">
        <v>233490.57</v>
      </c>
      <c r="J77" s="344">
        <f>ROUND(I77*E77,2)</f>
        <v/>
      </c>
      <c r="K77" s="329" t="n"/>
    </row>
    <row r="78" ht="25.5" customFormat="1" customHeight="1" s="329">
      <c r="A78" s="375" t="n">
        <v>51</v>
      </c>
      <c r="B78" s="330" t="inlineStr">
        <is>
          <t>22.2.01.03-0002</t>
        </is>
      </c>
      <c r="C78" s="331" t="inlineStr">
        <is>
          <t>Изолятор подвесной стеклянный ПСВ-160А</t>
        </is>
      </c>
      <c r="D78" s="330" t="inlineStr">
        <is>
          <t>шт</t>
        </is>
      </c>
      <c r="E78" s="332" t="n">
        <v>17600</v>
      </c>
      <c r="F78" s="331" t="n">
        <v>284.68</v>
      </c>
      <c r="G78" s="224">
        <f>G79+G80</f>
        <v/>
      </c>
      <c r="H78" s="289">
        <f>G78/$G$158</f>
        <v/>
      </c>
      <c r="I78" s="224">
        <f>ROUND(F78*Прил.10!$D$13,2)</f>
        <v/>
      </c>
      <c r="J78" s="224">
        <f>ROUND(I78*E78,2)</f>
        <v/>
      </c>
    </row>
    <row r="79" hidden="1" outlineLevel="1" ht="25.5" customFormat="1" customHeight="1" s="329">
      <c r="A79" s="375" t="n"/>
      <c r="B79" s="330" t="inlineStr">
        <is>
          <t>22.2.01.03-0002</t>
        </is>
      </c>
      <c r="C79" s="331" t="inlineStr">
        <is>
          <t>Изолятор подвесной стеклянный ПСВ-160А</t>
        </is>
      </c>
      <c r="D79" s="330" t="inlineStr">
        <is>
          <t>шт</t>
        </is>
      </c>
      <c r="E79" s="332" t="n">
        <v>9218.4</v>
      </c>
      <c r="F79" s="331" t="n">
        <v>284.68</v>
      </c>
      <c r="G79" s="224">
        <f>ROUND(E79*F79,2)</f>
        <v/>
      </c>
      <c r="H79" s="289">
        <f>G79/$G$158</f>
        <v/>
      </c>
      <c r="I79" s="224">
        <f>ROUND(F79*Прил.10!$D$13,2)</f>
        <v/>
      </c>
      <c r="J79" s="224">
        <f>ROUND(I79*E79,2)</f>
        <v/>
      </c>
      <c r="K79" s="329" t="n"/>
    </row>
    <row r="80" hidden="1" outlineLevel="1" ht="25.5" customFormat="1" customHeight="1" s="329">
      <c r="A80" s="375" t="n"/>
      <c r="B80" s="330" t="inlineStr">
        <is>
          <t>22.2.01.03-0001</t>
        </is>
      </c>
      <c r="C80" s="331" t="inlineStr">
        <is>
          <t>Изолятор подвесной стеклянный ПСВ-120Б</t>
        </is>
      </c>
      <c r="D80" s="330" t="inlineStr">
        <is>
          <t>шт</t>
        </is>
      </c>
      <c r="E80" s="332" t="n">
        <v>7720.41</v>
      </c>
      <c r="F80" s="331" t="n">
        <v>202.55</v>
      </c>
      <c r="G80" s="224">
        <f>ROUND(E80*F80,2)</f>
        <v/>
      </c>
      <c r="H80" s="289">
        <f>G80/$G$158</f>
        <v/>
      </c>
      <c r="I80" s="224">
        <f>ROUND(F80*Прил.10!$D$13,2)</f>
        <v/>
      </c>
      <c r="J80" s="224">
        <f>ROUND(I80*E80,2)</f>
        <v/>
      </c>
      <c r="K80" s="329" t="n"/>
    </row>
    <row r="81" collapsed="1" ht="25.5" customFormat="1" customHeight="1" s="329">
      <c r="A81" s="375" t="n">
        <v>52</v>
      </c>
      <c r="B81" s="330" t="inlineStr">
        <is>
          <t>22.2.02.04-0040</t>
        </is>
      </c>
      <c r="C81" s="331" t="inlineStr">
        <is>
          <t>Звено промежуточное регулируемое ПРР-21-1</t>
        </is>
      </c>
      <c r="D81" s="330" t="inlineStr">
        <is>
          <t>шт</t>
        </is>
      </c>
      <c r="E81" s="332" t="n">
        <v>1432</v>
      </c>
      <c r="F81" s="331" t="n">
        <v>492.77</v>
      </c>
      <c r="G81" s="224">
        <f>ROUND(E81*F81,2)</f>
        <v/>
      </c>
      <c r="H81" s="289">
        <f>G81/$G$158</f>
        <v/>
      </c>
      <c r="I81" s="224">
        <f>ROUND(F81*Прил.10!$D$13,2)</f>
        <v/>
      </c>
      <c r="J81" s="224">
        <f>ROUND(I81*E81,2)</f>
        <v/>
      </c>
      <c r="K81" s="329" t="n"/>
    </row>
    <row r="82" ht="25.5" customFormat="1" customHeight="1" s="329">
      <c r="A82" s="375" t="n">
        <v>53</v>
      </c>
      <c r="B82" s="330" t="inlineStr">
        <is>
          <t>20.5.04.07-0041</t>
        </is>
      </c>
      <c r="C82" s="331" t="inlineStr">
        <is>
          <t>Зажим соединительный спиральный СС-24,5-11</t>
        </is>
      </c>
      <c r="D82" s="330" t="inlineStr">
        <is>
          <t>шт</t>
        </is>
      </c>
      <c r="E82" s="332" t="n">
        <v>260</v>
      </c>
      <c r="F82" s="331" t="n">
        <v>1221.05</v>
      </c>
      <c r="G82" s="224">
        <f>ROUND(E82*F82,2)</f>
        <v/>
      </c>
      <c r="H82" s="289">
        <f>G82/$G$158</f>
        <v/>
      </c>
      <c r="I82" s="224">
        <f>ROUND(F82*Прил.10!$D$13,2)</f>
        <v/>
      </c>
      <c r="J82" s="224">
        <f>ROUND(I82*E82,2)</f>
        <v/>
      </c>
      <c r="K82" s="329" t="n"/>
    </row>
    <row r="83" ht="25.5" customFormat="1" customHeight="1" s="329">
      <c r="A83" s="375" t="n">
        <v>54</v>
      </c>
      <c r="B83" s="330" t="inlineStr">
        <is>
          <t>22.2.02.04-0016</t>
        </is>
      </c>
      <c r="C83" s="331" t="inlineStr">
        <is>
          <t>Звено промежуточное монтажное ПТМ-21-3А</t>
        </is>
      </c>
      <c r="D83" s="330" t="inlineStr">
        <is>
          <t>шт</t>
        </is>
      </c>
      <c r="E83" s="332" t="n">
        <v>1150</v>
      </c>
      <c r="F83" s="331" t="n">
        <v>421.33</v>
      </c>
      <c r="G83" s="224">
        <f>ROUND(E83*F83,2)</f>
        <v/>
      </c>
      <c r="H83" s="289">
        <f>G83/$G$158</f>
        <v/>
      </c>
      <c r="I83" s="224">
        <f>ROUND(F83*Прил.10!$D$13,2)</f>
        <v/>
      </c>
      <c r="J83" s="224">
        <f>ROUND(I83*E83,2)</f>
        <v/>
      </c>
      <c r="K83" s="329" t="n"/>
    </row>
    <row r="84" ht="25.5" customFormat="1" customHeight="1" s="329">
      <c r="A84" s="375" t="n">
        <v>55</v>
      </c>
      <c r="B84" s="330" t="inlineStr">
        <is>
          <t>20.5.04.04-0039</t>
        </is>
      </c>
      <c r="C84" s="331" t="inlineStr">
        <is>
          <t>Зажим натяжной прессуемый НАСУС-500-1</t>
        </is>
      </c>
      <c r="D84" s="330" t="inlineStr">
        <is>
          <t>шт</t>
        </is>
      </c>
      <c r="E84" s="332" t="n">
        <v>330</v>
      </c>
      <c r="F84" s="331" t="n">
        <v>1962.52</v>
      </c>
      <c r="G84" s="224">
        <f>ROUND(E84*F84,2)</f>
        <v/>
      </c>
      <c r="H84" s="289">
        <f>G84/$G$158</f>
        <v/>
      </c>
      <c r="I84" s="224">
        <f>ROUND(F84*Прил.10!$D$13,2)</f>
        <v/>
      </c>
      <c r="J84" s="224">
        <f>ROUND(I84*E84,2)</f>
        <v/>
      </c>
      <c r="K84" s="329" t="n"/>
    </row>
    <row r="85" ht="14.25" customFormat="1" customHeight="1" s="329">
      <c r="A85" s="375" t="n">
        <v>56</v>
      </c>
      <c r="B85" s="330" t="inlineStr">
        <is>
          <t>01.7.15.02-0052</t>
        </is>
      </c>
      <c r="C85" s="331" t="inlineStr">
        <is>
          <t>Болты анкерные U-образные</t>
        </is>
      </c>
      <c r="D85" s="330" t="inlineStr">
        <is>
          <t>т</t>
        </is>
      </c>
      <c r="E85" s="332" t="n">
        <v>40.1</v>
      </c>
      <c r="F85" s="331" t="n">
        <v>10067.97</v>
      </c>
      <c r="G85" s="224">
        <f>ROUND(E85*F85,2)</f>
        <v/>
      </c>
      <c r="H85" s="289">
        <f>G85/$G$158</f>
        <v/>
      </c>
      <c r="I85" s="224">
        <f>ROUND(F85*Прил.10!$D$13,2)</f>
        <v/>
      </c>
      <c r="J85" s="224">
        <f>ROUND(I85*E85,2)</f>
        <v/>
      </c>
      <c r="K85" s="329" t="n"/>
    </row>
    <row r="86" ht="14.25" customFormat="1" customHeight="1" s="329">
      <c r="A86" s="377" t="n"/>
      <c r="B86" s="231" t="n"/>
      <c r="C86" s="232" t="inlineStr">
        <is>
          <t>Итого основные материалы</t>
        </is>
      </c>
      <c r="D86" s="377" t="n"/>
      <c r="E86" s="342" t="n"/>
      <c r="F86" s="344" t="n"/>
      <c r="G86" s="344">
        <f>SUM(G77:G85)</f>
        <v/>
      </c>
      <c r="H86" s="289">
        <f>G86/$G$158</f>
        <v/>
      </c>
      <c r="I86" s="224" t="n"/>
      <c r="J86" s="344">
        <f>SUM(J77:J85)</f>
        <v/>
      </c>
      <c r="K86" s="329" t="n"/>
    </row>
    <row r="87" hidden="1" outlineLevel="1" ht="14.25" customFormat="1" customHeight="1" s="329">
      <c r="A87" s="375" t="n">
        <v>57</v>
      </c>
      <c r="B87" s="330" t="inlineStr">
        <is>
          <t>Прайс из СД ОП</t>
        </is>
      </c>
      <c r="C87" s="331" t="inlineStr">
        <is>
          <t>Узел крепления КГН-21-5</t>
        </is>
      </c>
      <c r="D87" s="330" t="inlineStr">
        <is>
          <t>шт</t>
        </is>
      </c>
      <c r="E87" s="332" t="n">
        <v>574</v>
      </c>
      <c r="F87" s="331" t="n">
        <v>701.52</v>
      </c>
      <c r="G87" s="224">
        <f>ROUND(E87*F87,2)</f>
        <v/>
      </c>
      <c r="H87" s="289">
        <f>G87/$G$158</f>
        <v/>
      </c>
      <c r="I87" s="224">
        <f>ROUND(F87*Прил.10!$D$13,2)</f>
        <v/>
      </c>
      <c r="J87" s="224">
        <f>ROUND(I87*E87,2)</f>
        <v/>
      </c>
      <c r="K87" s="329" t="n"/>
    </row>
    <row r="88" hidden="1" outlineLevel="1" ht="14.25" customFormat="1" customHeight="1" s="329">
      <c r="A88" s="375" t="n">
        <v>58</v>
      </c>
      <c r="B88" s="330" t="inlineStr">
        <is>
          <t>20.1.02.22-0020</t>
        </is>
      </c>
      <c r="C88" s="331" t="inlineStr">
        <is>
          <t>Ушко: У1-30-24</t>
        </is>
      </c>
      <c r="D88" s="330" t="inlineStr">
        <is>
          <t>шт</t>
        </is>
      </c>
      <c r="E88" s="332" t="n">
        <v>574</v>
      </c>
      <c r="F88" s="331" t="n">
        <v>683.1</v>
      </c>
      <c r="G88" s="224">
        <f>ROUND(E88*F88,2)</f>
        <v/>
      </c>
      <c r="H88" s="289">
        <f>G88/$G$158</f>
        <v/>
      </c>
      <c r="I88" s="224">
        <f>ROUND(F88*Прил.10!$D$13,2)</f>
        <v/>
      </c>
      <c r="J88" s="224">
        <f>ROUND(I88*E88,2)</f>
        <v/>
      </c>
      <c r="K88" s="329" t="n"/>
    </row>
    <row r="89" hidden="1" outlineLevel="1" ht="25.5" customFormat="1" customHeight="1" s="329">
      <c r="A89" s="375" t="n">
        <v>59</v>
      </c>
      <c r="B89" s="330" t="inlineStr">
        <is>
          <t>20.1.01.12-0002</t>
        </is>
      </c>
      <c r="C89" s="331" t="inlineStr">
        <is>
          <t>Зажим поддерживающий глухой 2ПГН-5-7(А-К)</t>
        </is>
      </c>
      <c r="D89" s="330" t="inlineStr">
        <is>
          <t>шт</t>
        </is>
      </c>
      <c r="E89" s="332" t="n">
        <v>448</v>
      </c>
      <c r="F89" s="331" t="n">
        <v>736.17</v>
      </c>
      <c r="G89" s="224">
        <f>ROUND(E89*F89,2)</f>
        <v/>
      </c>
      <c r="H89" s="289">
        <f>G89/$G$158</f>
        <v/>
      </c>
      <c r="I89" s="224">
        <f>ROUND(F89*Прил.10!$D$13,2)</f>
        <v/>
      </c>
      <c r="J89" s="224">
        <f>ROUND(I89*E89,2)</f>
        <v/>
      </c>
      <c r="K89" s="329" t="n"/>
    </row>
    <row r="90" hidden="1" outlineLevel="1" ht="25.5" customFormat="1" customHeight="1" s="329">
      <c r="A90" s="375" t="n">
        <v>60</v>
      </c>
      <c r="B90" s="330" t="inlineStr">
        <is>
          <t>Прайс из СД ОП</t>
        </is>
      </c>
      <c r="C90" s="331" t="inlineStr">
        <is>
          <t>Зажим натяжной клиносочлененный ЗНК401005/28Х29</t>
        </is>
      </c>
      <c r="D90" s="330" t="inlineStr">
        <is>
          <t>шт</t>
        </is>
      </c>
      <c r="E90" s="332" t="n">
        <v>244</v>
      </c>
      <c r="F90" s="331" t="n">
        <v>1426.41</v>
      </c>
      <c r="G90" s="224">
        <f>ROUND(E90*F90,2)</f>
        <v/>
      </c>
      <c r="H90" s="289">
        <f>G90/$G$158</f>
        <v/>
      </c>
      <c r="I90" s="224">
        <f>ROUND(F90*Прил.10!$D$13,2)</f>
        <v/>
      </c>
      <c r="J90" s="224">
        <f>ROUND(I90*E90,2)</f>
        <v/>
      </c>
      <c r="K90" s="329" t="n"/>
    </row>
    <row r="91" hidden="1" outlineLevel="1" ht="14.25" customFormat="1" customHeight="1" s="329">
      <c r="A91" s="375" t="n">
        <v>61</v>
      </c>
      <c r="B91" s="330" t="inlineStr">
        <is>
          <t>Прайс из СД ОП</t>
        </is>
      </c>
      <c r="C91" s="331" t="inlineStr">
        <is>
          <t>Коромысло 2КЛ-21-1</t>
        </is>
      </c>
      <c r="D91" s="330" t="inlineStr">
        <is>
          <t>шт.</t>
        </is>
      </c>
      <c r="E91" s="332" t="n">
        <v>288</v>
      </c>
      <c r="F91" s="331" t="n">
        <v>1161.67</v>
      </c>
      <c r="G91" s="224">
        <f>ROUND(E91*F91,2)</f>
        <v/>
      </c>
      <c r="H91" s="289">
        <f>G91/$G$158</f>
        <v/>
      </c>
      <c r="I91" s="224">
        <f>ROUND(F91*Прил.10!$D$13,2)</f>
        <v/>
      </c>
      <c r="J91" s="224">
        <f>ROUND(I91*E91,2)</f>
        <v/>
      </c>
      <c r="K91" s="329" t="n"/>
    </row>
    <row r="92" hidden="1" outlineLevel="1" ht="25.5" customFormat="1" customHeight="1" s="329">
      <c r="A92" s="375" t="n">
        <v>62</v>
      </c>
      <c r="B92" s="330" t="inlineStr">
        <is>
          <t>05.1.01.13-0011</t>
        </is>
      </c>
      <c r="C92" s="331" t="inlineStr">
        <is>
          <t>Плита анкерная сборная железобетонная ВЛ и ОРУ</t>
        </is>
      </c>
      <c r="D92" s="330" t="inlineStr">
        <is>
          <t>м3</t>
        </is>
      </c>
      <c r="E92" s="332" t="n">
        <v>243.0184</v>
      </c>
      <c r="F92" s="331" t="n">
        <v>1148</v>
      </c>
      <c r="G92" s="224">
        <f>ROUND(E92*F92,2)</f>
        <v/>
      </c>
      <c r="H92" s="289">
        <f>G92/$G$158</f>
        <v/>
      </c>
      <c r="I92" s="224">
        <f>ROUND(F92*Прил.10!$D$13,2)</f>
        <v/>
      </c>
      <c r="J92" s="224">
        <f>ROUND(I92*E92,2)</f>
        <v/>
      </c>
      <c r="K92" s="329" t="n"/>
    </row>
    <row r="93" hidden="1" outlineLevel="1" ht="14.25" customFormat="1" customHeight="1" s="329">
      <c r="A93" s="375" t="n">
        <v>63</v>
      </c>
      <c r="B93" s="330" t="inlineStr">
        <is>
          <t>22.2.02.01-0022</t>
        </is>
      </c>
      <c r="C93" s="331" t="inlineStr">
        <is>
          <t>Гаситель вибрации ГВП-3,2-13</t>
        </is>
      </c>
      <c r="D93" s="330" t="inlineStr">
        <is>
          <t>шт</t>
        </is>
      </c>
      <c r="E93" s="332" t="n">
        <v>1603.2</v>
      </c>
      <c r="F93" s="331" t="n">
        <v>169.74</v>
      </c>
      <c r="G93" s="224">
        <f>ROUND(E93*F93,2)</f>
        <v/>
      </c>
      <c r="H93" s="289">
        <f>G93/$G$158</f>
        <v/>
      </c>
      <c r="I93" s="224">
        <f>ROUND(F93*Прил.10!$D$13,2)</f>
        <v/>
      </c>
      <c r="J93" s="224">
        <f>ROUND(I93*E93,2)</f>
        <v/>
      </c>
      <c r="K93" s="329" t="n"/>
    </row>
    <row r="94" hidden="1" outlineLevel="1" ht="25.5" customFormat="1" customHeight="1" s="329">
      <c r="A94" s="375" t="n">
        <v>64</v>
      </c>
      <c r="B94" s="330" t="inlineStr">
        <is>
          <t>22.2.02.04-0020</t>
        </is>
      </c>
      <c r="C94" s="331" t="inlineStr">
        <is>
          <t>Звено промежуточное прямое двойное 2ПР-21-1</t>
        </is>
      </c>
      <c r="D94" s="330" t="inlineStr">
        <is>
          <t>шт</t>
        </is>
      </c>
      <c r="E94" s="332" t="n">
        <v>756.51</v>
      </c>
      <c r="F94" s="331" t="n">
        <v>314.56</v>
      </c>
      <c r="G94" s="224">
        <f>ROUND(E94*F94,2)</f>
        <v/>
      </c>
      <c r="H94" s="289">
        <f>G94/$G$158</f>
        <v/>
      </c>
      <c r="I94" s="224">
        <f>ROUND(F94*Прил.10!$D$13,2)</f>
        <v/>
      </c>
      <c r="J94" s="224">
        <f>ROUND(I94*E94,2)</f>
        <v/>
      </c>
      <c r="K94" s="329" t="n"/>
    </row>
    <row r="95" hidden="1" outlineLevel="1" ht="14.25" customFormat="1" customHeight="1" s="329">
      <c r="A95" s="375" t="n">
        <v>65</v>
      </c>
      <c r="B95" s="330" t="inlineStr">
        <is>
          <t>22.2.01.03-0003</t>
        </is>
      </c>
      <c r="C95" s="331" t="inlineStr">
        <is>
          <t>Изолятор подвесной стеклянный ПСД-70Е</t>
        </is>
      </c>
      <c r="D95" s="330" t="inlineStr">
        <is>
          <t>шт</t>
        </is>
      </c>
      <c r="E95" s="332" t="n">
        <v>1304.27</v>
      </c>
      <c r="F95" s="331" t="n">
        <v>169.25</v>
      </c>
      <c r="G95" s="224">
        <f>ROUND(E95*F95,2)</f>
        <v/>
      </c>
      <c r="H95" s="289">
        <f>G95/$G$158</f>
        <v/>
      </c>
      <c r="I95" s="224">
        <f>ROUND(F95*Прил.10!$D$13,2)</f>
        <v/>
      </c>
      <c r="J95" s="224">
        <f>ROUND(I95*E95,2)</f>
        <v/>
      </c>
      <c r="K95" s="329" t="n"/>
    </row>
    <row r="96" hidden="1" outlineLevel="1" ht="25.5" customFormat="1" customHeight="1" s="329">
      <c r="A96" s="375" t="n">
        <v>66</v>
      </c>
      <c r="B96" s="330" t="inlineStr">
        <is>
          <t>Прайс из СД ОП</t>
        </is>
      </c>
      <c r="C96" s="331" t="inlineStr">
        <is>
          <t>Звено промежуточное трехлапчатое ПРТ-30/21-2</t>
        </is>
      </c>
      <c r="D96" s="330" t="inlineStr">
        <is>
          <t>шт</t>
        </is>
      </c>
      <c r="E96" s="332" t="n">
        <v>479.29</v>
      </c>
      <c r="F96" s="331" t="n">
        <v>414.23</v>
      </c>
      <c r="G96" s="224">
        <f>ROUND(E96*F96,2)</f>
        <v/>
      </c>
      <c r="H96" s="289">
        <f>G96/$G$158</f>
        <v/>
      </c>
      <c r="I96" s="224">
        <f>ROUND(F96*Прил.10!$D$13,2)</f>
        <v/>
      </c>
      <c r="J96" s="224">
        <f>ROUND(I96*E96,2)</f>
        <v/>
      </c>
      <c r="K96" s="329" t="n"/>
    </row>
    <row r="97" hidden="1" outlineLevel="1" ht="25.5" customFormat="1" customHeight="1" s="329">
      <c r="A97" s="375" t="n">
        <v>67</v>
      </c>
      <c r="B97" s="330" t="inlineStr">
        <is>
          <t>Прайс из СД ОП</t>
        </is>
      </c>
      <c r="C97" s="331" t="inlineStr">
        <is>
          <t>Звено промежуточное прямое двойное 2ПР-30-1</t>
        </is>
      </c>
      <c r="D97" s="330" t="inlineStr">
        <is>
          <t>шт</t>
        </is>
      </c>
      <c r="E97" s="332" t="n">
        <v>479.29</v>
      </c>
      <c r="F97" s="331" t="n">
        <v>414.23</v>
      </c>
      <c r="G97" s="224">
        <f>ROUND(E97*F97,2)</f>
        <v/>
      </c>
      <c r="H97" s="289">
        <f>G97/$G$158</f>
        <v/>
      </c>
      <c r="I97" s="224">
        <f>ROUND(F97*Прил.10!$D$13,2)</f>
        <v/>
      </c>
      <c r="J97" s="224">
        <f>ROUND(I97*E97,2)</f>
        <v/>
      </c>
      <c r="K97" s="329" t="n"/>
    </row>
    <row r="98" hidden="1" outlineLevel="1" ht="63.75" customFormat="1" customHeight="1" s="329">
      <c r="A98" s="375" t="n">
        <v>68</v>
      </c>
      <c r="B98" s="330" t="inlineStr">
        <is>
          <t>23.5.01.08-0089</t>
        </is>
      </c>
      <c r="C98" s="331" t="inlineStr">
        <is>
          <t>Трубы стальные электросварные прямошовные и спирально-шовные группы А и Б с сопротивлением по разрыву 38 кгс/мм2, наружный диаметр 1420 мм, толщина стенки 10 мм</t>
        </is>
      </c>
      <c r="D98" s="330" t="inlineStr">
        <is>
          <t>м</t>
        </is>
      </c>
      <c r="E98" s="332" t="n">
        <v>68.637</v>
      </c>
      <c r="F98" s="331" t="n">
        <v>2840.49</v>
      </c>
      <c r="G98" s="224">
        <f>ROUND(E98*F98,2)</f>
        <v/>
      </c>
      <c r="H98" s="289">
        <f>G98/$G$158</f>
        <v/>
      </c>
      <c r="I98" s="224">
        <f>ROUND(F98*Прил.10!$D$13,2)</f>
        <v/>
      </c>
      <c r="J98" s="224">
        <f>ROUND(I98*E98,2)</f>
        <v/>
      </c>
      <c r="K98" s="329" t="n"/>
    </row>
    <row r="99" hidden="1" outlineLevel="1" ht="25.5" customFormat="1" customHeight="1" s="329">
      <c r="A99" s="375" t="n">
        <v>69</v>
      </c>
      <c r="B99" s="330" t="inlineStr">
        <is>
          <t>Прайс из СД ОП</t>
        </is>
      </c>
      <c r="C99" s="331" t="inlineStr">
        <is>
          <t>Зажим  соединительный  ШЛЕЙФОВЫЙ спиральный	 ШС-33.2-01</t>
        </is>
      </c>
      <c r="D99" s="330" t="inlineStr">
        <is>
          <t>шт</t>
        </is>
      </c>
      <c r="E99" s="332" t="n">
        <v>243.82</v>
      </c>
      <c r="F99" s="331" t="n">
        <v>739.4400000000001</v>
      </c>
      <c r="G99" s="224">
        <f>ROUND(E99*F99,2)</f>
        <v/>
      </c>
      <c r="H99" s="289">
        <f>G99/$G$158</f>
        <v/>
      </c>
      <c r="I99" s="224">
        <f>ROUND(F99*Прил.10!$D$13,2)</f>
        <v/>
      </c>
      <c r="J99" s="224">
        <f>ROUND(I99*E99,2)</f>
        <v/>
      </c>
      <c r="K99" s="329" t="n"/>
    </row>
    <row r="100" hidden="1" outlineLevel="1" ht="14.25" customFormat="1" customHeight="1" s="329">
      <c r="A100" s="375" t="n">
        <v>70</v>
      </c>
      <c r="B100" s="330" t="inlineStr">
        <is>
          <t>22.2.02.04-0028</t>
        </is>
      </c>
      <c r="C100" s="331" t="inlineStr">
        <is>
          <t>Звено промежуточное ПТР-21-1</t>
        </is>
      </c>
      <c r="D100" s="330" t="inlineStr">
        <is>
          <t>шт</t>
        </is>
      </c>
      <c r="E100" s="332" t="n">
        <v>245.49</v>
      </c>
      <c r="F100" s="331" t="n">
        <v>720.0599999999999</v>
      </c>
      <c r="G100" s="224">
        <f>ROUND(E100*F100,2)</f>
        <v/>
      </c>
      <c r="H100" s="289">
        <f>G100/$G$158</f>
        <v/>
      </c>
      <c r="I100" s="224">
        <f>ROUND(F100*Прил.10!$D$13,2)</f>
        <v/>
      </c>
      <c r="J100" s="224">
        <f>ROUND(I100*E100,2)</f>
        <v/>
      </c>
      <c r="K100" s="329" t="n"/>
    </row>
    <row r="101" hidden="1" outlineLevel="1" ht="25.5" customFormat="1" customHeight="1" s="329">
      <c r="A101" s="375" t="n">
        <v>71</v>
      </c>
      <c r="B101" s="330" t="inlineStr">
        <is>
          <t>Прайс из СД ОП</t>
        </is>
      </c>
      <c r="C101" s="331" t="inlineStr">
        <is>
          <t>Звено промежуточное трехлапчатое ПРТ-21/30-2</t>
        </is>
      </c>
      <c r="D101" s="330" t="inlineStr">
        <is>
          <t>шт</t>
        </is>
      </c>
      <c r="E101" s="332" t="n">
        <v>479.29</v>
      </c>
      <c r="F101" s="331" t="n">
        <v>287.28</v>
      </c>
      <c r="G101" s="224">
        <f>ROUND(E101*F101,2)</f>
        <v/>
      </c>
      <c r="H101" s="289">
        <f>G101/$G$158</f>
        <v/>
      </c>
      <c r="I101" s="224">
        <f>ROUND(F101*Прил.10!$D$13,2)</f>
        <v/>
      </c>
      <c r="J101" s="224">
        <f>ROUND(I101*E101,2)</f>
        <v/>
      </c>
      <c r="K101" s="329" t="n"/>
    </row>
    <row r="102" hidden="1" outlineLevel="1" ht="14.25" customFormat="1" customHeight="1" s="329">
      <c r="A102" s="375" t="n">
        <v>72</v>
      </c>
      <c r="B102" s="330" t="inlineStr">
        <is>
          <t>22.2.02.04-0024</t>
        </is>
      </c>
      <c r="C102" s="331" t="inlineStr">
        <is>
          <t>Звено промежуточное прямое ПР-21-6</t>
        </is>
      </c>
      <c r="D102" s="330" t="inlineStr">
        <is>
          <t>шт</t>
        </is>
      </c>
      <c r="E102" s="332" t="n">
        <v>960.25</v>
      </c>
      <c r="F102" s="331" t="n">
        <v>142.98</v>
      </c>
      <c r="G102" s="224">
        <f>ROUND(E102*F102,2)</f>
        <v/>
      </c>
      <c r="H102" s="289">
        <f>G102/$G$158</f>
        <v/>
      </c>
      <c r="I102" s="224">
        <f>ROUND(F102*Прил.10!$D$13,2)</f>
        <v/>
      </c>
      <c r="J102" s="224">
        <f>ROUND(I102*E102,2)</f>
        <v/>
      </c>
      <c r="K102" s="329" t="n"/>
    </row>
    <row r="103" hidden="1" outlineLevel="1" ht="14.25" customFormat="1" customHeight="1" s="329">
      <c r="A103" s="375" t="n">
        <v>73</v>
      </c>
      <c r="B103" s="330" t="inlineStr">
        <is>
          <t>01.7.15.10-0035</t>
        </is>
      </c>
      <c r="C103" s="331" t="inlineStr">
        <is>
          <t>Скобы СК-21-1А</t>
        </is>
      </c>
      <c r="D103" s="330" t="inlineStr">
        <is>
          <t>шт</t>
        </is>
      </c>
      <c r="E103" s="332" t="n">
        <v>960.25</v>
      </c>
      <c r="F103" s="331" t="n">
        <v>116.92</v>
      </c>
      <c r="G103" s="224">
        <f>ROUND(E103*F103,2)</f>
        <v/>
      </c>
      <c r="H103" s="289">
        <f>G103/$G$158</f>
        <v/>
      </c>
      <c r="I103" s="224">
        <f>ROUND(F103*Прил.10!$D$13,2)</f>
        <v/>
      </c>
      <c r="J103" s="224">
        <f>ROUND(I103*E103,2)</f>
        <v/>
      </c>
      <c r="K103" s="329" t="n"/>
    </row>
    <row r="104" hidden="1" outlineLevel="1" ht="14.25" customFormat="1" customHeight="1" s="329">
      <c r="A104" s="375" t="n">
        <v>74</v>
      </c>
      <c r="B104" s="330" t="inlineStr">
        <is>
          <t>Прайс из СД ОП</t>
        </is>
      </c>
      <c r="C104" s="331" t="inlineStr">
        <is>
          <t>Серьга  СР-30-24</t>
        </is>
      </c>
      <c r="D104" s="330" t="inlineStr">
        <is>
          <t>шт</t>
        </is>
      </c>
      <c r="E104" s="332" t="n">
        <v>479.29</v>
      </c>
      <c r="F104" s="331" t="n">
        <v>207.95</v>
      </c>
      <c r="G104" s="224">
        <f>ROUND(E104*F104,2)</f>
        <v/>
      </c>
      <c r="H104" s="289">
        <f>G104/$G$158</f>
        <v/>
      </c>
      <c r="I104" s="224">
        <f>ROUND(F104*Прил.10!$D$13,2)</f>
        <v/>
      </c>
      <c r="J104" s="224">
        <f>ROUND(I104*E104,2)</f>
        <v/>
      </c>
      <c r="K104" s="329" t="n"/>
    </row>
    <row r="105" hidden="1" outlineLevel="1" ht="25.5" customFormat="1" customHeight="1" s="329">
      <c r="A105" s="375" t="n">
        <v>75</v>
      </c>
      <c r="B105" s="330" t="inlineStr">
        <is>
          <t>Прайс из СД ОП</t>
        </is>
      </c>
      <c r="C105" s="331" t="inlineStr">
        <is>
          <t>Изолятор подвесной с аэродинамическим профилем U120ВА 212V</t>
        </is>
      </c>
      <c r="D105" s="330" t="inlineStr">
        <is>
          <t>шт</t>
        </is>
      </c>
      <c r="E105" s="332" t="n">
        <v>350.7</v>
      </c>
      <c r="F105" s="331" t="n">
        <v>280.94</v>
      </c>
      <c r="G105" s="224">
        <f>ROUND(E105*F105,2)</f>
        <v/>
      </c>
      <c r="H105" s="289">
        <f>G105/$G$158</f>
        <v/>
      </c>
      <c r="I105" s="224">
        <f>ROUND(F105*Прил.10!$D$13,2)</f>
        <v/>
      </c>
      <c r="J105" s="224">
        <f>ROUND(I105*E105,2)</f>
        <v/>
      </c>
      <c r="K105" s="329" t="n"/>
    </row>
    <row r="106" hidden="1" outlineLevel="1" ht="14.25" customFormat="1" customHeight="1" s="329">
      <c r="A106" s="375" t="n">
        <v>76</v>
      </c>
      <c r="B106" s="330" t="inlineStr">
        <is>
          <t>20.2.11.01-0010</t>
        </is>
      </c>
      <c r="C106" s="331" t="inlineStr">
        <is>
          <t>Распорка дистанционная глухая РГ-4-400</t>
        </is>
      </c>
      <c r="D106" s="330" t="inlineStr">
        <is>
          <t>шт</t>
        </is>
      </c>
      <c r="E106" s="332" t="n">
        <v>2817.29</v>
      </c>
      <c r="F106" s="331" t="n">
        <v>33.41</v>
      </c>
      <c r="G106" s="224">
        <f>ROUND(E106*F106,2)</f>
        <v/>
      </c>
      <c r="H106" s="289">
        <f>G106/$G$158</f>
        <v/>
      </c>
      <c r="I106" s="224">
        <f>ROUND(F106*Прил.10!$D$13,2)</f>
        <v/>
      </c>
      <c r="J106" s="224">
        <f>ROUND(I106*E106,2)</f>
        <v/>
      </c>
      <c r="K106" s="329" t="n"/>
    </row>
    <row r="107" hidden="1" outlineLevel="1" ht="25.5" customFormat="1" customHeight="1" s="329">
      <c r="A107" s="375" t="n">
        <v>77</v>
      </c>
      <c r="B107" s="330" t="inlineStr">
        <is>
          <t>22.2.02.04-0004</t>
        </is>
      </c>
      <c r="C107" s="331" t="inlineStr">
        <is>
          <t>Звено промежуточное вывернутое ПРВ-21-1</t>
        </is>
      </c>
      <c r="D107" s="330" t="inlineStr">
        <is>
          <t>шт</t>
        </is>
      </c>
      <c r="E107" s="332" t="n">
        <v>960.25</v>
      </c>
      <c r="F107" s="331" t="n">
        <v>83.93000000000001</v>
      </c>
      <c r="G107" s="224">
        <f>ROUND(E107*F107,2)</f>
        <v/>
      </c>
      <c r="H107" s="289">
        <f>G107/$G$158</f>
        <v/>
      </c>
      <c r="I107" s="224">
        <f>ROUND(F107*Прил.10!$D$13,2)</f>
        <v/>
      </c>
      <c r="J107" s="224">
        <f>ROUND(I107*E107,2)</f>
        <v/>
      </c>
      <c r="K107" s="329" t="n"/>
    </row>
    <row r="108" hidden="1" outlineLevel="1" ht="38.25" customFormat="1" customHeight="1" s="329">
      <c r="A108" s="375" t="n">
        <v>78</v>
      </c>
      <c r="B108" s="330" t="inlineStr">
        <is>
          <t>02.3.01.02-0016</t>
        </is>
      </c>
      <c r="C108" s="331" t="inlineStr">
        <is>
          <t>Песок природный для строительных: работ средний с крупностью зерен размером свыше 5 мм - до 5% по массе</t>
        </is>
      </c>
      <c r="D108" s="330" t="inlineStr">
        <is>
          <t>м3</t>
        </is>
      </c>
      <c r="E108" s="332" t="n">
        <v>1250.18204</v>
      </c>
      <c r="F108" s="331" t="n">
        <v>55.26</v>
      </c>
      <c r="G108" s="224">
        <f>ROUND(E108*F108,2)</f>
        <v/>
      </c>
      <c r="H108" s="289">
        <f>G108/$G$158</f>
        <v/>
      </c>
      <c r="I108" s="224">
        <f>ROUND(F108*Прил.10!$D$13,2)</f>
        <v/>
      </c>
      <c r="J108" s="224">
        <f>ROUND(I108*E108,2)</f>
        <v/>
      </c>
      <c r="K108" s="329" t="n"/>
    </row>
    <row r="109" hidden="1" outlineLevel="1" ht="14.25" customFormat="1" customHeight="1" s="329">
      <c r="A109" s="375" t="n">
        <v>79</v>
      </c>
      <c r="B109" s="330" t="inlineStr">
        <is>
          <t>20.2.02.06-0002</t>
        </is>
      </c>
      <c r="C109" s="331" t="inlineStr">
        <is>
          <t>Экран защитный: ЭЗ-500-5</t>
        </is>
      </c>
      <c r="D109" s="330" t="inlineStr">
        <is>
          <t>шт</t>
        </is>
      </c>
      <c r="E109" s="332" t="n">
        <v>479.29</v>
      </c>
      <c r="F109" s="331" t="n">
        <v>122.11</v>
      </c>
      <c r="G109" s="224">
        <f>ROUND(E109*F109,2)</f>
        <v/>
      </c>
      <c r="H109" s="289">
        <f>G109/$G$158</f>
        <v/>
      </c>
      <c r="I109" s="224">
        <f>ROUND(F109*Прил.10!$D$13,2)</f>
        <v/>
      </c>
      <c r="J109" s="224">
        <f>ROUND(I109*E109,2)</f>
        <v/>
      </c>
      <c r="K109" s="329" t="n"/>
    </row>
    <row r="110" hidden="1" outlineLevel="1" ht="25.5" customFormat="1" customHeight="1" s="329">
      <c r="A110" s="375" t="n">
        <v>80</v>
      </c>
      <c r="B110" s="330" t="inlineStr">
        <is>
          <t>20.1.02.22-0008</t>
        </is>
      </c>
      <c r="C110" s="331" t="inlineStr">
        <is>
          <t>Ушко: специальное укороченное УСК-12-16</t>
        </is>
      </c>
      <c r="D110" s="330" t="inlineStr">
        <is>
          <t>шт</t>
        </is>
      </c>
      <c r="E110" s="332" t="n">
        <v>404.14</v>
      </c>
      <c r="F110" s="331" t="n">
        <v>120.95</v>
      </c>
      <c r="G110" s="224">
        <f>ROUND(E110*F110,2)</f>
        <v/>
      </c>
      <c r="H110" s="289">
        <f>G110/$G$158</f>
        <v/>
      </c>
      <c r="I110" s="224">
        <f>ROUND(F110*Прил.10!$D$13,2)</f>
        <v/>
      </c>
      <c r="J110" s="224">
        <f>ROUND(I110*E110,2)</f>
        <v/>
      </c>
      <c r="K110" s="329" t="n"/>
    </row>
    <row r="111" hidden="1" outlineLevel="1" ht="25.5" customFormat="1" customHeight="1" s="329">
      <c r="A111" s="375" t="n">
        <v>81</v>
      </c>
      <c r="B111" s="330" t="inlineStr">
        <is>
          <t>05.1.03.13-0183</t>
        </is>
      </c>
      <c r="C111" s="331" t="inlineStr">
        <is>
          <t>Ригели сборные железобетонные ВЛ и ОРУ</t>
        </is>
      </c>
      <c r="D111" s="330" t="inlineStr">
        <is>
          <t>м3</t>
        </is>
      </c>
      <c r="E111" s="332" t="n">
        <v>26.9872</v>
      </c>
      <c r="F111" s="331" t="n">
        <v>1733.42</v>
      </c>
      <c r="G111" s="224">
        <f>ROUND(E111*F111,2)</f>
        <v/>
      </c>
      <c r="H111" s="289">
        <f>G111/$G$158</f>
        <v/>
      </c>
      <c r="I111" s="224">
        <f>ROUND(F111*Прил.10!$D$13,2)</f>
        <v/>
      </c>
      <c r="J111" s="224">
        <f>ROUND(I111*E111,2)</f>
        <v/>
      </c>
      <c r="K111" s="329" t="n"/>
    </row>
    <row r="112" hidden="1" outlineLevel="1" ht="25.5" customFormat="1" customHeight="1" s="329">
      <c r="A112" s="375" t="n">
        <v>82</v>
      </c>
      <c r="B112" s="330" t="inlineStr">
        <is>
          <t>20.2.11.02-0003</t>
        </is>
      </c>
      <c r="C112" s="331" t="inlineStr">
        <is>
          <t>Распорка дистанционная утяжеленная РУ-4-400</t>
        </is>
      </c>
      <c r="D112" s="330" t="inlineStr">
        <is>
          <t>шт</t>
        </is>
      </c>
      <c r="E112" s="332" t="n">
        <v>369.07</v>
      </c>
      <c r="F112" s="331" t="n">
        <v>83.53</v>
      </c>
      <c r="G112" s="224">
        <f>ROUND(E112*F112,2)</f>
        <v/>
      </c>
      <c r="H112" s="289">
        <f>G112/$G$158</f>
        <v/>
      </c>
      <c r="I112" s="224">
        <f>ROUND(F112*Прил.10!$D$13,2)</f>
        <v/>
      </c>
      <c r="J112" s="224">
        <f>ROUND(I112*E112,2)</f>
        <v/>
      </c>
      <c r="K112" s="329" t="n"/>
    </row>
    <row r="113" hidden="1" outlineLevel="1" ht="14.25" customFormat="1" customHeight="1" s="329">
      <c r="A113" s="375" t="n">
        <v>83</v>
      </c>
      <c r="B113" s="330" t="inlineStr">
        <is>
          <t>07.1.04.02-0001</t>
        </is>
      </c>
      <c r="C113" s="331" t="inlineStr">
        <is>
          <t>Детали крепления стальные</t>
        </is>
      </c>
      <c r="D113" s="330" t="inlineStr">
        <is>
          <t>кг</t>
        </is>
      </c>
      <c r="E113" s="332" t="n">
        <v>2805.6</v>
      </c>
      <c r="F113" s="331" t="n">
        <v>10.05</v>
      </c>
      <c r="G113" s="224">
        <f>ROUND(E113*F113,2)</f>
        <v/>
      </c>
      <c r="H113" s="289">
        <f>G113/$G$158</f>
        <v/>
      </c>
      <c r="I113" s="224">
        <f>ROUND(F113*Прил.10!$D$13,2)</f>
        <v/>
      </c>
      <c r="J113" s="224">
        <f>ROUND(I113*E113,2)</f>
        <v/>
      </c>
      <c r="K113" s="329" t="n"/>
    </row>
    <row r="114" hidden="1" outlineLevel="1" ht="25.5" customFormat="1" customHeight="1" s="329">
      <c r="A114" s="375" t="n">
        <v>84</v>
      </c>
      <c r="B114" s="330" t="inlineStr">
        <is>
          <t>22.2.02.04-0045</t>
        </is>
      </c>
      <c r="C114" s="331" t="inlineStr">
        <is>
          <t>Звено промежуточное трехлапчатое ПРТ-12-1</t>
        </is>
      </c>
      <c r="D114" s="330" t="inlineStr">
        <is>
          <t>шт</t>
        </is>
      </c>
      <c r="E114" s="332" t="n">
        <v>404.14</v>
      </c>
      <c r="F114" s="331" t="n">
        <v>65.58</v>
      </c>
      <c r="G114" s="224">
        <f>ROUND(E114*F114,2)</f>
        <v/>
      </c>
      <c r="H114" s="289">
        <f>G114/$G$158</f>
        <v/>
      </c>
      <c r="I114" s="224">
        <f>ROUND(F114*Прил.10!$D$13,2)</f>
        <v/>
      </c>
      <c r="J114" s="224">
        <f>ROUND(I114*E114,2)</f>
        <v/>
      </c>
      <c r="K114" s="329" t="n"/>
    </row>
    <row r="115" hidden="1" outlineLevel="1" ht="25.5" customFormat="1" customHeight="1" s="329">
      <c r="A115" s="375" t="n">
        <v>85</v>
      </c>
      <c r="B115" s="330" t="inlineStr">
        <is>
          <t>02.2.05.04-1592</t>
        </is>
      </c>
      <c r="C115" s="331" t="inlineStr">
        <is>
          <t>Щебень М 1400, фракция 5(3)-10 мм, группа 2</t>
        </is>
      </c>
      <c r="D115" s="330" t="inlineStr">
        <is>
          <t>м3</t>
        </is>
      </c>
      <c r="E115" s="332" t="n">
        <v>168.6199</v>
      </c>
      <c r="F115" s="331" t="n">
        <v>142.71</v>
      </c>
      <c r="G115" s="224">
        <f>ROUND(E115*F115,2)</f>
        <v/>
      </c>
      <c r="H115" s="289">
        <f>G115/$G$158</f>
        <v/>
      </c>
      <c r="I115" s="224">
        <f>ROUND(F115*Прил.10!$D$13,2)</f>
        <v/>
      </c>
      <c r="J115" s="224">
        <f>ROUND(I115*E115,2)</f>
        <v/>
      </c>
      <c r="K115" s="329" t="n"/>
    </row>
    <row r="116" hidden="1" outlineLevel="1" ht="38.25" customFormat="1" customHeight="1" s="329">
      <c r="A116" s="375" t="n">
        <v>86</v>
      </c>
      <c r="B116" s="330" t="inlineStr">
        <is>
          <t>11.1.02.01-0031</t>
        </is>
      </c>
      <c r="C116" s="331" t="inlineStr">
        <is>
          <t>Лесоматериалы лиственных пород для строительства, круглые, длина 3-6,5 м, диаметр 12-24 см</t>
        </is>
      </c>
      <c r="D116" s="330" t="inlineStr">
        <is>
          <t>м3</t>
        </is>
      </c>
      <c r="E116" s="332" t="n">
        <v>65.631</v>
      </c>
      <c r="F116" s="331" t="n">
        <v>365</v>
      </c>
      <c r="G116" s="224">
        <f>ROUND(E116*F116,2)</f>
        <v/>
      </c>
      <c r="H116" s="289">
        <f>G116/$G$158</f>
        <v/>
      </c>
      <c r="I116" s="224">
        <f>ROUND(F116*Прил.10!$D$13,2)</f>
        <v/>
      </c>
      <c r="J116" s="224">
        <f>ROUND(I116*E116,2)</f>
        <v/>
      </c>
      <c r="K116" s="329" t="n"/>
    </row>
    <row r="117" hidden="1" outlineLevel="1" ht="25.5" customFormat="1" customHeight="1" s="329">
      <c r="A117" s="375" t="n">
        <v>87</v>
      </c>
      <c r="B117" s="330" t="inlineStr">
        <is>
          <t>22.2.02.04-0010</t>
        </is>
      </c>
      <c r="C117" s="331" t="inlineStr">
        <is>
          <t>Звено промежуточное монтажное ПТМ-12-3А</t>
        </is>
      </c>
      <c r="D117" s="330" t="inlineStr">
        <is>
          <t>шт</t>
        </is>
      </c>
      <c r="E117" s="332" t="n">
        <v>404.14</v>
      </c>
      <c r="F117" s="331" t="n">
        <v>57.95</v>
      </c>
      <c r="G117" s="224">
        <f>ROUND(E117*F117,2)</f>
        <v/>
      </c>
      <c r="H117" s="289">
        <f>G117/$G$158</f>
        <v/>
      </c>
      <c r="I117" s="224">
        <f>ROUND(F117*Прил.10!$D$13,2)</f>
        <v/>
      </c>
      <c r="J117" s="224">
        <f>ROUND(I117*E117,2)</f>
        <v/>
      </c>
      <c r="K117" s="329" t="n"/>
    </row>
    <row r="118" hidden="1" outlineLevel="1" ht="14.25" customFormat="1" customHeight="1" s="329">
      <c r="A118" s="375" t="n">
        <v>88</v>
      </c>
      <c r="B118" s="330" t="inlineStr">
        <is>
          <t>Прайс из СД ОП</t>
        </is>
      </c>
      <c r="C118" s="331" t="inlineStr">
        <is>
          <t>Скоба СК-120-1Б</t>
        </is>
      </c>
      <c r="D118" s="330" t="inlineStr">
        <is>
          <t>шт</t>
        </is>
      </c>
      <c r="E118" s="332" t="n">
        <v>347.36</v>
      </c>
      <c r="F118" s="331" t="n">
        <v>64.34</v>
      </c>
      <c r="G118" s="224">
        <f>ROUND(E118*F118,2)</f>
        <v/>
      </c>
      <c r="H118" s="289">
        <f>G118/$G$158</f>
        <v/>
      </c>
      <c r="I118" s="224">
        <f>ROUND(F118*Прил.10!$D$13,2)</f>
        <v/>
      </c>
      <c r="J118" s="224">
        <f>ROUND(I118*E118,2)</f>
        <v/>
      </c>
      <c r="K118" s="329" t="n"/>
    </row>
    <row r="119" hidden="1" outlineLevel="1" ht="14.25" customFormat="1" customHeight="1" s="329">
      <c r="A119" s="375" t="n">
        <v>89</v>
      </c>
      <c r="B119" s="330" t="inlineStr">
        <is>
          <t>01.7.15.10-0032</t>
        </is>
      </c>
      <c r="C119" s="331" t="inlineStr">
        <is>
          <t>Скобы СК-12-1А</t>
        </is>
      </c>
      <c r="D119" s="330" t="inlineStr">
        <is>
          <t>шт</t>
        </is>
      </c>
      <c r="E119" s="332" t="n">
        <v>404.14</v>
      </c>
      <c r="F119" s="331" t="n">
        <v>54.7</v>
      </c>
      <c r="G119" s="224">
        <f>ROUND(E119*F119,2)</f>
        <v/>
      </c>
      <c r="H119" s="289">
        <f>G119/$G$158</f>
        <v/>
      </c>
      <c r="I119" s="224">
        <f>ROUND(F119*Прил.10!$D$13,2)</f>
        <v/>
      </c>
      <c r="J119" s="224">
        <f>ROUND(I119*E119,2)</f>
        <v/>
      </c>
      <c r="K119" s="329" t="n"/>
    </row>
    <row r="120" hidden="1" outlineLevel="1" ht="14.25" customFormat="1" customHeight="1" s="329">
      <c r="A120" s="375" t="n">
        <v>90</v>
      </c>
      <c r="B120" s="330" t="inlineStr">
        <is>
          <t>01.4.01.03-0122</t>
        </is>
      </c>
      <c r="C120" s="331" t="inlineStr">
        <is>
          <t>Долота трехшарошечные типа Ш76К-ЦВ</t>
        </is>
      </c>
      <c r="D120" s="330" t="inlineStr">
        <is>
          <t>шт</t>
        </is>
      </c>
      <c r="E120" s="332" t="n">
        <v>25.062859</v>
      </c>
      <c r="F120" s="331" t="n">
        <v>864.37</v>
      </c>
      <c r="G120" s="224">
        <f>ROUND(E120*F120,2)</f>
        <v/>
      </c>
      <c r="H120" s="289">
        <f>G120/$G$158</f>
        <v/>
      </c>
      <c r="I120" s="224">
        <f>ROUND(F120*Прил.10!$D$13,2)</f>
        <v/>
      </c>
      <c r="J120" s="224">
        <f>ROUND(I120*E120,2)</f>
        <v/>
      </c>
      <c r="K120" s="329" t="n"/>
    </row>
    <row r="121" hidden="1" outlineLevel="1" ht="14.25" customFormat="1" customHeight="1" s="329">
      <c r="A121" s="375" t="n">
        <v>91</v>
      </c>
      <c r="B121" s="330" t="inlineStr">
        <is>
          <t>01.4.01.03-0123</t>
        </is>
      </c>
      <c r="C121" s="331" t="inlineStr">
        <is>
          <t>Долота трехшарошечные типа Ш93Т-ЦВ</t>
        </is>
      </c>
      <c r="D121" s="330" t="inlineStr">
        <is>
          <t>шт</t>
        </is>
      </c>
      <c r="E121" s="332" t="n">
        <v>14.62239475</v>
      </c>
      <c r="F121" s="331" t="n">
        <v>1434.19</v>
      </c>
      <c r="G121" s="224">
        <f>ROUND(E121*F121,2)</f>
        <v/>
      </c>
      <c r="H121" s="289">
        <f>G121/$G$158</f>
        <v/>
      </c>
      <c r="I121" s="224">
        <f>ROUND(F121*Прил.10!$D$13,2)</f>
        <v/>
      </c>
      <c r="J121" s="224">
        <f>ROUND(I121*E121,2)</f>
        <v/>
      </c>
      <c r="K121" s="329" t="n"/>
    </row>
    <row r="122" hidden="1" outlineLevel="1" ht="14.25" customFormat="1" customHeight="1" s="329">
      <c r="A122" s="375" t="n">
        <v>92</v>
      </c>
      <c r="B122" s="330" t="inlineStr">
        <is>
          <t>22.2.02.04-0022</t>
        </is>
      </c>
      <c r="C122" s="331" t="inlineStr">
        <is>
          <t>Звено промежуточное прямое ПР-12-6</t>
        </is>
      </c>
      <c r="D122" s="330" t="inlineStr">
        <is>
          <t>шт</t>
        </is>
      </c>
      <c r="E122" s="332" t="n">
        <v>404.14</v>
      </c>
      <c r="F122" s="331" t="n">
        <v>42.05</v>
      </c>
      <c r="G122" s="224">
        <f>ROUND(E122*F122,2)</f>
        <v/>
      </c>
      <c r="H122" s="289">
        <f>G122/$G$158</f>
        <v/>
      </c>
      <c r="I122" s="224">
        <f>ROUND(F122*Прил.10!$D$13,2)</f>
        <v/>
      </c>
      <c r="J122" s="224">
        <f>ROUND(I122*E122,2)</f>
        <v/>
      </c>
      <c r="K122" s="329" t="n"/>
    </row>
    <row r="123" hidden="1" outlineLevel="1" ht="25.5" customFormat="1" customHeight="1" s="329">
      <c r="A123" s="375" t="n">
        <v>93</v>
      </c>
      <c r="B123" s="330" t="inlineStr">
        <is>
          <t>Прайс из СД ОП</t>
        </is>
      </c>
      <c r="C123" s="331" t="inlineStr">
        <is>
          <t>Оцинковка металлических балок для сдвоенных фундаметов</t>
        </is>
      </c>
      <c r="D123" s="330" t="inlineStr">
        <is>
          <t>т</t>
        </is>
      </c>
      <c r="E123" s="332" t="n">
        <v>4.2589676</v>
      </c>
      <c r="F123" s="331" t="n">
        <v>3772.53</v>
      </c>
      <c r="G123" s="224">
        <f>ROUND(E123*F123,2)</f>
        <v/>
      </c>
      <c r="H123" s="289">
        <f>G123/$G$158</f>
        <v/>
      </c>
      <c r="I123" s="224">
        <f>ROUND(F123*Прил.10!$D$13,2)</f>
        <v/>
      </c>
      <c r="J123" s="224">
        <f>ROUND(I123*E123,2)</f>
        <v/>
      </c>
      <c r="K123" s="329" t="n"/>
    </row>
    <row r="124" hidden="1" outlineLevel="1" ht="25.5" customFormat="1" customHeight="1" s="329">
      <c r="A124" s="375" t="n">
        <v>94</v>
      </c>
      <c r="B124" s="330" t="inlineStr">
        <is>
          <t>08.4.03.02-0004</t>
        </is>
      </c>
      <c r="C124" s="331" t="inlineStr">
        <is>
          <t>Сталь арматурная, горячекатаная, гладкая, класс А-I, диаметр 12 мм</t>
        </is>
      </c>
      <c r="D124" s="330" t="inlineStr">
        <is>
          <t>т</t>
        </is>
      </c>
      <c r="E124" s="332" t="n">
        <v>2.1804856</v>
      </c>
      <c r="F124" s="331" t="n">
        <v>6509.41</v>
      </c>
      <c r="G124" s="224">
        <f>ROUND(E124*F124,2)</f>
        <v/>
      </c>
      <c r="H124" s="289">
        <f>G124/$G$158</f>
        <v/>
      </c>
      <c r="I124" s="224">
        <f>ROUND(F124*Прил.10!$D$13,2)</f>
        <v/>
      </c>
      <c r="J124" s="224">
        <f>ROUND(I124*E124,2)</f>
        <v/>
      </c>
      <c r="K124" s="329" t="n"/>
    </row>
    <row r="125" hidden="1" outlineLevel="1" ht="14.25" customFormat="1" customHeight="1" s="329">
      <c r="A125" s="375" t="n">
        <v>95</v>
      </c>
      <c r="B125" s="330" t="inlineStr">
        <is>
          <t>20.2.11.01-0012</t>
        </is>
      </c>
      <c r="C125" s="331" t="inlineStr">
        <is>
          <t>Распорка дистанционная глухая РГ-4-600</t>
        </is>
      </c>
      <c r="D125" s="330" t="inlineStr">
        <is>
          <t>шт</t>
        </is>
      </c>
      <c r="E125" s="332" t="n">
        <v>357.38</v>
      </c>
      <c r="F125" s="331" t="n">
        <v>38.51</v>
      </c>
      <c r="G125" s="224">
        <f>ROUND(E125*F125,2)</f>
        <v/>
      </c>
      <c r="H125" s="289">
        <f>G125/$G$158</f>
        <v/>
      </c>
      <c r="I125" s="224">
        <f>ROUND(F125*Прил.10!$D$13,2)</f>
        <v/>
      </c>
      <c r="J125" s="224">
        <f>ROUND(I125*E125,2)</f>
        <v/>
      </c>
      <c r="K125" s="329" t="n"/>
    </row>
    <row r="126" hidden="1" outlineLevel="1" ht="51" customFormat="1" customHeight="1" s="329">
      <c r="A126" s="375" t="n">
        <v>96</v>
      </c>
      <c r="B126" s="330" t="inlineStr">
        <is>
          <t>23.5.01.08-0043</t>
        </is>
      </c>
      <c r="C126" s="331" t="inlineStr">
        <is>
          <t>Трубы стальные электросварные прямошовные и спиральношовные, класс прочности К38, наружный диаметр 720 мм, толщина стенки 10 мм</t>
        </is>
      </c>
      <c r="D126" s="330" t="inlineStr">
        <is>
          <t>м</t>
        </is>
      </c>
      <c r="E126" s="332" t="n">
        <v>10.2204</v>
      </c>
      <c r="F126" s="331" t="n">
        <v>1279</v>
      </c>
      <c r="G126" s="224">
        <f>ROUND(E126*F126,2)</f>
        <v/>
      </c>
      <c r="H126" s="289">
        <f>G126/$G$158</f>
        <v/>
      </c>
      <c r="I126" s="224">
        <f>ROUND(F126*Прил.10!$D$13,2)</f>
        <v/>
      </c>
      <c r="J126" s="224">
        <f>ROUND(I126*E126,2)</f>
        <v/>
      </c>
      <c r="K126" s="329" t="n"/>
    </row>
    <row r="127" hidden="1" outlineLevel="1" ht="14.25" customFormat="1" customHeight="1" s="329">
      <c r="A127" s="375" t="n">
        <v>97</v>
      </c>
      <c r="B127" s="330" t="inlineStr">
        <is>
          <t>12.2.03.11-0023</t>
        </is>
      </c>
      <c r="C127" s="331" t="inlineStr">
        <is>
          <t>Ткань стеклянная конструкционная Т-11</t>
        </is>
      </c>
      <c r="D127" s="330" t="inlineStr">
        <is>
          <t>м2</t>
        </is>
      </c>
      <c r="E127" s="332" t="n">
        <v>484.968</v>
      </c>
      <c r="F127" s="331" t="n">
        <v>20.9</v>
      </c>
      <c r="G127" s="224">
        <f>ROUND(E127*F127,2)</f>
        <v/>
      </c>
      <c r="H127" s="289">
        <f>G127/$G$158</f>
        <v/>
      </c>
      <c r="I127" s="224">
        <f>ROUND(F127*Прил.10!$D$13,2)</f>
        <v/>
      </c>
      <c r="J127" s="224">
        <f>ROUND(I127*E127,2)</f>
        <v/>
      </c>
      <c r="K127" s="329" t="n"/>
    </row>
    <row r="128" hidden="1" outlineLevel="1" ht="25.5" customFormat="1" customHeight="1" s="329">
      <c r="A128" s="375" t="n">
        <v>98</v>
      </c>
      <c r="B128" s="330" t="inlineStr">
        <is>
          <t>01.7.15.03-0038</t>
        </is>
      </c>
      <c r="C128" s="331" t="inlineStr">
        <is>
          <t>Болты с гайками и шайбами оцинкованные, диаметр 36 мм</t>
        </is>
      </c>
      <c r="D128" s="330" t="inlineStr">
        <is>
          <t>кг</t>
        </is>
      </c>
      <c r="E128" s="332" t="n">
        <v>400.8</v>
      </c>
      <c r="F128" s="331" t="n">
        <v>24.57</v>
      </c>
      <c r="G128" s="224">
        <f>ROUND(E128*F128,2)</f>
        <v/>
      </c>
      <c r="H128" s="289">
        <f>G128/$G$158</f>
        <v/>
      </c>
      <c r="I128" s="224">
        <f>ROUND(F128*Прил.10!$D$13,2)</f>
        <v/>
      </c>
      <c r="J128" s="224">
        <f>ROUND(I128*E128,2)</f>
        <v/>
      </c>
      <c r="K128" s="329" t="n"/>
    </row>
    <row r="129" hidden="1" outlineLevel="1" ht="14.25" customFormat="1" customHeight="1" s="329">
      <c r="A129" s="375" t="n">
        <v>99</v>
      </c>
      <c r="B129" s="330" t="inlineStr">
        <is>
          <t>14.4.04.09-0016</t>
        </is>
      </c>
      <c r="C129" s="331" t="inlineStr">
        <is>
          <t>Эмаль ХВ-124, голубая</t>
        </is>
      </c>
      <c r="D129" s="330" t="inlineStr">
        <is>
          <t>т</t>
        </is>
      </c>
      <c r="E129" s="332" t="n">
        <v>0.430309568</v>
      </c>
      <c r="F129" s="331" t="n">
        <v>22050.03</v>
      </c>
      <c r="G129" s="224">
        <f>ROUND(E129*F129,2)</f>
        <v/>
      </c>
      <c r="H129" s="289">
        <f>G129/$G$158</f>
        <v/>
      </c>
      <c r="I129" s="224">
        <f>ROUND(F129*Прил.10!$D$13,2)</f>
        <v/>
      </c>
      <c r="J129" s="224">
        <f>ROUND(I129*E129,2)</f>
        <v/>
      </c>
      <c r="K129" s="329" t="n"/>
    </row>
    <row r="130" hidden="1" outlineLevel="1" ht="14.25" customFormat="1" customHeight="1" s="329">
      <c r="A130" s="375" t="n">
        <v>100</v>
      </c>
      <c r="B130" s="330" t="inlineStr">
        <is>
          <t>01.2.03.07-0023</t>
        </is>
      </c>
      <c r="C130" s="331" t="inlineStr">
        <is>
          <t>Эмульсия битумно-дорожная</t>
        </is>
      </c>
      <c r="D130" s="330" t="inlineStr">
        <is>
          <t>т</t>
        </is>
      </c>
      <c r="E130" s="332" t="n">
        <v>5.4073264</v>
      </c>
      <c r="F130" s="331" t="n">
        <v>1554.2</v>
      </c>
      <c r="G130" s="224">
        <f>ROUND(E130*F130,2)</f>
        <v/>
      </c>
      <c r="H130" s="289">
        <f>G130/$G$158</f>
        <v/>
      </c>
      <c r="I130" s="224">
        <f>ROUND(F130*Прил.10!$D$13,2)</f>
        <v/>
      </c>
      <c r="J130" s="224">
        <f>ROUND(I130*E130,2)</f>
        <v/>
      </c>
      <c r="K130" s="329" t="n"/>
    </row>
    <row r="131" hidden="1" outlineLevel="1" ht="25.5" customFormat="1" customHeight="1" s="329">
      <c r="A131" s="375" t="n">
        <v>101</v>
      </c>
      <c r="B131" s="330" t="inlineStr">
        <is>
          <t>02.2.05.04-1822</t>
        </is>
      </c>
      <c r="C131" s="331" t="inlineStr">
        <is>
          <t>Щебень М 1000, фракция 40-80(70) мм, группа 2</t>
        </is>
      </c>
      <c r="D131" s="330" t="inlineStr">
        <is>
          <t>м3</t>
        </is>
      </c>
      <c r="E131" s="332" t="n">
        <v>44.3207646</v>
      </c>
      <c r="F131" s="331" t="n">
        <v>155.94</v>
      </c>
      <c r="G131" s="224">
        <f>ROUND(E131*F131,2)</f>
        <v/>
      </c>
      <c r="H131" s="289">
        <f>G131/$G$158</f>
        <v/>
      </c>
      <c r="I131" s="224">
        <f>ROUND(F131*Прил.10!$D$13,2)</f>
        <v/>
      </c>
      <c r="J131" s="224">
        <f>ROUND(I131*E131,2)</f>
        <v/>
      </c>
      <c r="K131" s="329" t="n"/>
    </row>
    <row r="132" hidden="1" outlineLevel="1" ht="25.5" customFormat="1" customHeight="1" s="329">
      <c r="A132" s="375" t="n">
        <v>102</v>
      </c>
      <c r="B132" s="330" t="inlineStr">
        <is>
          <t>10.1.02.03-0001</t>
        </is>
      </c>
      <c r="C132" s="331" t="inlineStr">
        <is>
          <t>Проволока алюминиевая, марка АМЦ, диаметр 1,4-1,8 мм</t>
        </is>
      </c>
      <c r="D132" s="330" t="inlineStr">
        <is>
          <t>т</t>
        </is>
      </c>
      <c r="E132" s="332" t="n">
        <v>0.20645359636</v>
      </c>
      <c r="F132" s="331" t="n">
        <v>30092.8</v>
      </c>
      <c r="G132" s="224">
        <f>ROUND(E132*F132,2)</f>
        <v/>
      </c>
      <c r="H132" s="289">
        <f>G132/$G$158</f>
        <v/>
      </c>
      <c r="I132" s="224">
        <f>ROUND(F132*Прил.10!$D$13,2)</f>
        <v/>
      </c>
      <c r="J132" s="224">
        <f>ROUND(I132*E132,2)</f>
        <v/>
      </c>
      <c r="K132" s="329" t="n"/>
    </row>
    <row r="133" hidden="1" outlineLevel="1" ht="14.25" customFormat="1" customHeight="1" s="329">
      <c r="A133" s="375" t="n">
        <v>103</v>
      </c>
      <c r="B133" s="330" t="inlineStr">
        <is>
          <t>01.7.15.03-0042</t>
        </is>
      </c>
      <c r="C133" s="331" t="inlineStr">
        <is>
          <t>Болты с гайками и шайбами строительные</t>
        </is>
      </c>
      <c r="D133" s="330" t="inlineStr">
        <is>
          <t>кг</t>
        </is>
      </c>
      <c r="E133" s="332" t="n">
        <v>662.99</v>
      </c>
      <c r="F133" s="331" t="n">
        <v>9.039999999999999</v>
      </c>
      <c r="G133" s="224">
        <f>ROUND(E133*F133,2)</f>
        <v/>
      </c>
      <c r="H133" s="289">
        <f>G133/$G$158</f>
        <v/>
      </c>
      <c r="I133" s="224">
        <f>ROUND(F133*Прил.10!$D$13,2)</f>
        <v/>
      </c>
      <c r="J133" s="224">
        <f>ROUND(I133*E133,2)</f>
        <v/>
      </c>
      <c r="K133" s="329" t="n"/>
    </row>
    <row r="134" hidden="1" outlineLevel="1" ht="14.25" customFormat="1" customHeight="1" s="329">
      <c r="A134" s="375" t="n">
        <v>104</v>
      </c>
      <c r="B134" s="330" t="inlineStr">
        <is>
          <t>20.1.02.14-1006</t>
        </is>
      </c>
      <c r="C134" s="331" t="inlineStr">
        <is>
          <t>Серьга СР-12-16</t>
        </is>
      </c>
      <c r="D134" s="330" t="inlineStr">
        <is>
          <t>шт</t>
        </is>
      </c>
      <c r="E134" s="332" t="n">
        <v>404.14</v>
      </c>
      <c r="F134" s="331" t="n">
        <v>13.29</v>
      </c>
      <c r="G134" s="224">
        <f>ROUND(E134*F134,2)</f>
        <v/>
      </c>
      <c r="H134" s="289">
        <f>G134/$G$158</f>
        <v/>
      </c>
      <c r="I134" s="224">
        <f>ROUND(F134*Прил.10!$D$13,2)</f>
        <v/>
      </c>
      <c r="J134" s="224">
        <f>ROUND(I134*E134,2)</f>
        <v/>
      </c>
      <c r="K134" s="329" t="n"/>
    </row>
    <row r="135" hidden="1" outlineLevel="1" ht="51" customFormat="1" customHeight="1" s="329">
      <c r="A135" s="375" t="n">
        <v>105</v>
      </c>
      <c r="B135" s="330" t="inlineStr">
        <is>
          <t>23.3.01.06-0001</t>
        </is>
      </c>
      <c r="C135" s="331" t="inlineStr">
        <is>
          <t>Трубы бурильные из стали группы Д с высаженными внутрь концами и муфты к ним наружный диаметр 73 мм, толщина стенки 7 мм</t>
        </is>
      </c>
      <c r="D135" s="330" t="inlineStr">
        <is>
          <t>м</t>
        </is>
      </c>
      <c r="E135" s="332" t="n">
        <v>25.4244975</v>
      </c>
      <c r="F135" s="331" t="n">
        <v>156.79</v>
      </c>
      <c r="G135" s="224">
        <f>ROUND(E135*F135,2)</f>
        <v/>
      </c>
      <c r="H135" s="289">
        <f>G135/$G$158</f>
        <v/>
      </c>
      <c r="I135" s="224">
        <f>ROUND(F135*Прил.10!$D$13,2)</f>
        <v/>
      </c>
      <c r="J135" s="224">
        <f>ROUND(I135*E135,2)</f>
        <v/>
      </c>
      <c r="K135" s="329" t="n"/>
    </row>
    <row r="136" hidden="1" outlineLevel="1" ht="14.25" customFormat="1" customHeight="1" s="329">
      <c r="A136" s="375" t="n">
        <v>106</v>
      </c>
      <c r="B136" s="330" t="inlineStr">
        <is>
          <t>08.3.03.04-0012</t>
        </is>
      </c>
      <c r="C136" s="331" t="inlineStr">
        <is>
          <t>Проволока светлая, диаметр 1,1 мм</t>
        </is>
      </c>
      <c r="D136" s="330" t="inlineStr">
        <is>
          <t>т</t>
        </is>
      </c>
      <c r="E136" s="332" t="n">
        <v>0.36406</v>
      </c>
      <c r="F136" s="331" t="n">
        <v>10200</v>
      </c>
      <c r="G136" s="224">
        <f>ROUND(E136*F136,2)</f>
        <v/>
      </c>
      <c r="H136" s="289">
        <f>G136/$G$158</f>
        <v/>
      </c>
      <c r="I136" s="224">
        <f>ROUND(F136*Прил.10!$D$13,2)</f>
        <v/>
      </c>
      <c r="J136" s="224">
        <f>ROUND(I136*E136,2)</f>
        <v/>
      </c>
      <c r="K136" s="329" t="n"/>
    </row>
    <row r="137" hidden="1" outlineLevel="1" ht="14.25" customFormat="1" customHeight="1" s="329">
      <c r="A137" s="375" t="n">
        <v>107</v>
      </c>
      <c r="B137" s="330" t="inlineStr">
        <is>
          <t>01.2.01.02-0052</t>
        </is>
      </c>
      <c r="C137" s="331" t="inlineStr">
        <is>
          <t>Битумы нефтяные строительные БН-70/30</t>
        </is>
      </c>
      <c r="D137" s="330" t="inlineStr">
        <is>
          <t>т</t>
        </is>
      </c>
      <c r="E137" s="332" t="n">
        <v>2.3156576712</v>
      </c>
      <c r="F137" s="331" t="n">
        <v>1525.98</v>
      </c>
      <c r="G137" s="224">
        <f>ROUND(E137*F137,2)</f>
        <v/>
      </c>
      <c r="H137" s="289">
        <f>G137/$G$158</f>
        <v/>
      </c>
      <c r="I137" s="224">
        <f>ROUND(F137*Прил.10!$D$13,2)</f>
        <v/>
      </c>
      <c r="J137" s="224">
        <f>ROUND(I137*E137,2)</f>
        <v/>
      </c>
      <c r="K137" s="329" t="n"/>
    </row>
    <row r="138" hidden="1" outlineLevel="1" ht="38.25" customFormat="1" customHeight="1" s="329">
      <c r="A138" s="375" t="n">
        <v>108</v>
      </c>
      <c r="B138" s="330" t="inlineStr">
        <is>
          <t>11.1.03.05-0086</t>
        </is>
      </c>
      <c r="C138" s="331" t="inlineStr">
        <is>
          <t>Доска необрезная, хвойных пород, длина 4-6,5 м, все ширины, толщина 44 мм и более, сорт IV</t>
        </is>
      </c>
      <c r="D138" s="330" t="inlineStr">
        <is>
          <t>м3</t>
        </is>
      </c>
      <c r="E138" s="332" t="n">
        <v>4.5424</v>
      </c>
      <c r="F138" s="331" t="n">
        <v>550</v>
      </c>
      <c r="G138" s="224">
        <f>ROUND(E138*F138,2)</f>
        <v/>
      </c>
      <c r="H138" s="289">
        <f>G138/$G$158</f>
        <v/>
      </c>
      <c r="I138" s="224">
        <f>ROUND(F138*Прил.10!$D$13,2)</f>
        <v/>
      </c>
      <c r="J138" s="224">
        <f>ROUND(I138*E138,2)</f>
        <v/>
      </c>
      <c r="K138" s="329" t="n"/>
    </row>
    <row r="139" hidden="1" outlineLevel="1" ht="14.25" customFormat="1" customHeight="1" s="329">
      <c r="A139" s="375" t="n">
        <v>109</v>
      </c>
      <c r="B139" s="330" t="inlineStr">
        <is>
          <t>20.1.02.21-0050</t>
        </is>
      </c>
      <c r="C139" s="331" t="inlineStr">
        <is>
          <t>Узел крепления КГП-16-3</t>
        </is>
      </c>
      <c r="D139" s="330" t="inlineStr">
        <is>
          <t>шт</t>
        </is>
      </c>
      <c r="E139" s="332" t="n">
        <v>56.78</v>
      </c>
      <c r="F139" s="331" t="n">
        <v>43.68</v>
      </c>
      <c r="G139" s="224">
        <f>ROUND(E139*F139,2)</f>
        <v/>
      </c>
      <c r="H139" s="289">
        <f>G139/$G$158</f>
        <v/>
      </c>
      <c r="I139" s="224">
        <f>ROUND(F139*Прил.10!$D$13,2)</f>
        <v/>
      </c>
      <c r="J139" s="224">
        <f>ROUND(I139*E139,2)</f>
        <v/>
      </c>
      <c r="K139" s="329" t="n"/>
    </row>
    <row r="140" hidden="1" outlineLevel="1" ht="14.25" customFormat="1" customHeight="1" s="329">
      <c r="A140" s="375" t="n">
        <v>110</v>
      </c>
      <c r="B140" s="330" t="inlineStr">
        <is>
          <t>14.5.09.11-0102</t>
        </is>
      </c>
      <c r="C140" s="331" t="inlineStr">
        <is>
          <t>Уайт-спирит</t>
        </is>
      </c>
      <c r="D140" s="330" t="inlineStr">
        <is>
          <t>кг</t>
        </is>
      </c>
      <c r="E140" s="332" t="n">
        <v>304.1830852</v>
      </c>
      <c r="F140" s="331" t="n">
        <v>6.67</v>
      </c>
      <c r="G140" s="224">
        <f>ROUND(E140*F140,2)</f>
        <v/>
      </c>
      <c r="H140" s="289">
        <f>G140/$G$158</f>
        <v/>
      </c>
      <c r="I140" s="224">
        <f>ROUND(F140*Прил.10!$D$13,2)</f>
        <v/>
      </c>
      <c r="J140" s="224">
        <f>ROUND(I140*E140,2)</f>
        <v/>
      </c>
      <c r="K140" s="329" t="n"/>
    </row>
    <row r="141" hidden="1" outlineLevel="1" ht="14.25" customFormat="1" customHeight="1" s="329">
      <c r="A141" s="375" t="n">
        <v>111</v>
      </c>
      <c r="B141" s="330" t="inlineStr">
        <is>
          <t>14.5.09.07-0030</t>
        </is>
      </c>
      <c r="C141" s="331" t="inlineStr">
        <is>
          <t>Растворитель Р-4</t>
        </is>
      </c>
      <c r="D141" s="330" t="inlineStr">
        <is>
          <t>кг</t>
        </is>
      </c>
      <c r="E141" s="332" t="n">
        <v>181.197004</v>
      </c>
      <c r="F141" s="331" t="n">
        <v>9.42</v>
      </c>
      <c r="G141" s="224">
        <f>ROUND(E141*F141,2)</f>
        <v/>
      </c>
      <c r="H141" s="289">
        <f>G141/$G$158</f>
        <v/>
      </c>
      <c r="I141" s="224">
        <f>ROUND(F141*Прил.10!$D$13,2)</f>
        <v/>
      </c>
      <c r="J141" s="224">
        <f>ROUND(I141*E141,2)</f>
        <v/>
      </c>
      <c r="K141" s="329" t="n"/>
    </row>
    <row r="142" hidden="1" outlineLevel="1" ht="14.25" customFormat="1" customHeight="1" s="329">
      <c r="A142" s="375" t="n">
        <v>112</v>
      </c>
      <c r="B142" s="330" t="inlineStr">
        <is>
          <t>01.7.03.01-0001</t>
        </is>
      </c>
      <c r="C142" s="331" t="inlineStr">
        <is>
          <t>Вода</t>
        </is>
      </c>
      <c r="D142" s="330" t="inlineStr">
        <is>
          <t>м3</t>
        </is>
      </c>
      <c r="E142" s="332" t="n">
        <v>594.3363000000001</v>
      </c>
      <c r="F142" s="331" t="n">
        <v>2.45</v>
      </c>
      <c r="G142" s="224">
        <f>ROUND(E142*F142,2)</f>
        <v/>
      </c>
      <c r="H142" s="289">
        <f>G142/$G$158</f>
        <v/>
      </c>
      <c r="I142" s="224">
        <f>ROUND(F142*Прил.10!$D$13,2)</f>
        <v/>
      </c>
      <c r="J142" s="224">
        <f>ROUND(I142*E142,2)</f>
        <v/>
      </c>
      <c r="K142" s="329" t="n"/>
    </row>
    <row r="143" hidden="1" outlineLevel="1" ht="14.25" customFormat="1" customHeight="1" s="329">
      <c r="A143" s="375" t="n">
        <v>113</v>
      </c>
      <c r="B143" s="330" t="inlineStr">
        <is>
          <t>01.7.11.07-0032</t>
        </is>
      </c>
      <c r="C143" s="331" t="inlineStr">
        <is>
          <t>Электроды сварочные Э42, диаметр 4 мм</t>
        </is>
      </c>
      <c r="D143" s="330" t="inlineStr">
        <is>
          <t>т</t>
        </is>
      </c>
      <c r="E143" s="332" t="n">
        <v>0.1403468</v>
      </c>
      <c r="F143" s="331" t="n">
        <v>10330.44</v>
      </c>
      <c r="G143" s="224">
        <f>ROUND(E143*F143,2)</f>
        <v/>
      </c>
      <c r="H143" s="289">
        <f>G143/$G$158</f>
        <v/>
      </c>
      <c r="I143" s="224">
        <f>ROUND(F143*Прил.10!$D$13,2)</f>
        <v/>
      </c>
      <c r="J143" s="224">
        <f>ROUND(I143*E143,2)</f>
        <v/>
      </c>
      <c r="K143" s="329" t="n"/>
    </row>
    <row r="144" hidden="1" outlineLevel="1" ht="25.5" customFormat="1" customHeight="1" s="329">
      <c r="A144" s="375" t="n">
        <v>114</v>
      </c>
      <c r="B144" s="330" t="inlineStr">
        <is>
          <t>02.2.05.04-1782</t>
        </is>
      </c>
      <c r="C144" s="331" t="inlineStr">
        <is>
          <t>Щебень М 1000, фракция 20-40 мм, группа 2</t>
        </is>
      </c>
      <c r="D144" s="330" t="inlineStr">
        <is>
          <t>м3</t>
        </is>
      </c>
      <c r="E144" s="332" t="n">
        <v>7.1453956</v>
      </c>
      <c r="F144" s="331" t="n">
        <v>166.8</v>
      </c>
      <c r="G144" s="224">
        <f>ROUND(E144*F144,2)</f>
        <v/>
      </c>
      <c r="H144" s="289">
        <f>G144/$G$158</f>
        <v/>
      </c>
      <c r="I144" s="224">
        <f>ROUND(F144*Прил.10!$D$13,2)</f>
        <v/>
      </c>
      <c r="J144" s="224">
        <f>ROUND(I144*E144,2)</f>
        <v/>
      </c>
      <c r="K144" s="329" t="n"/>
    </row>
    <row r="145" hidden="1" outlineLevel="1" ht="38.25" customFormat="1" customHeight="1" s="329">
      <c r="A145" s="375" t="n">
        <v>115</v>
      </c>
      <c r="B145" s="330" t="inlineStr">
        <is>
          <t>23.3.01.02-0001</t>
        </is>
      </c>
      <c r="C145" s="331" t="inlineStr">
        <is>
          <t xml:space="preserve">Трубы бесшовные обсадные под сварку (бурильные) утяжеленные, наружный диаметр 73 мм, толщина стенки 16 мм  </t>
        </is>
      </c>
      <c r="D145" s="330" t="inlineStr">
        <is>
          <t>м</t>
        </is>
      </c>
      <c r="E145" s="332" t="n">
        <v>3.13114646</v>
      </c>
      <c r="F145" s="331" t="n">
        <v>272.02</v>
      </c>
      <c r="G145" s="224">
        <f>ROUND(E145*F145,2)</f>
        <v/>
      </c>
      <c r="H145" s="289">
        <f>G145/$G$158</f>
        <v/>
      </c>
      <c r="I145" s="224">
        <f>ROUND(F145*Прил.10!$D$13,2)</f>
        <v/>
      </c>
      <c r="J145" s="224">
        <f>ROUND(I145*E145,2)</f>
        <v/>
      </c>
      <c r="K145" s="329" t="n"/>
    </row>
    <row r="146" hidden="1" outlineLevel="1" ht="25.5" customFormat="1" customHeight="1" s="329">
      <c r="A146" s="375" t="n">
        <v>116</v>
      </c>
      <c r="B146" s="330" t="inlineStr">
        <is>
          <t>02.2.05.04-1702</t>
        </is>
      </c>
      <c r="C146" s="331" t="inlineStr">
        <is>
          <t>Щебень М 1000, фракция 10-20 мм, группа 2</t>
        </is>
      </c>
      <c r="D146" s="330" t="inlineStr">
        <is>
          <t>м3</t>
        </is>
      </c>
      <c r="E146" s="332" t="n">
        <v>2.21603823</v>
      </c>
      <c r="F146" s="331" t="n">
        <v>130</v>
      </c>
      <c r="G146" s="224">
        <f>ROUND(E146*F146,2)</f>
        <v/>
      </c>
      <c r="H146" s="289">
        <f>G146/$G$158</f>
        <v/>
      </c>
      <c r="I146" s="224">
        <f>ROUND(F146*Прил.10!$D$13,2)</f>
        <v/>
      </c>
      <c r="J146" s="224">
        <f>ROUND(I146*E146,2)</f>
        <v/>
      </c>
      <c r="K146" s="329" t="n"/>
    </row>
    <row r="147" hidden="1" outlineLevel="1" ht="38.25" customFormat="1" customHeight="1" s="329">
      <c r="A147" s="375" t="n">
        <v>117</v>
      </c>
      <c r="B147" s="330" t="inlineStr">
        <is>
          <t>11.1.03.01-0080</t>
        </is>
      </c>
      <c r="C147" s="331" t="inlineStr">
        <is>
          <t>Бруски обрезные, хвойных пород, длина 4-6,5 м, ширина 75-150 мм, толщина 40-75 мм, сорт IV</t>
        </is>
      </c>
      <c r="D147" s="330" t="inlineStr">
        <is>
          <t>м3</t>
        </is>
      </c>
      <c r="E147" s="332" t="n">
        <v>0.14001113</v>
      </c>
      <c r="F147" s="331" t="n">
        <v>1055.95</v>
      </c>
      <c r="G147" s="224">
        <f>ROUND(E147*F147,2)</f>
        <v/>
      </c>
      <c r="H147" s="289">
        <f>G147/$G$158</f>
        <v/>
      </c>
      <c r="I147" s="224">
        <f>ROUND(F147*Прил.10!$D$13,2)</f>
        <v/>
      </c>
      <c r="J147" s="224">
        <f>ROUND(I147*E147,2)</f>
        <v/>
      </c>
      <c r="K147" s="329" t="n"/>
    </row>
    <row r="148" hidden="1" outlineLevel="1" ht="25.5" customFormat="1" customHeight="1" s="329">
      <c r="A148" s="375" t="n">
        <v>118</v>
      </c>
      <c r="B148" s="330" t="inlineStr">
        <is>
          <t>01.2.01.02-0021</t>
        </is>
      </c>
      <c r="C148" s="331" t="inlineStr">
        <is>
          <t>Битумы нефтяные модифицированные для кровельных мастик БНМ-55/60</t>
        </is>
      </c>
      <c r="D148" s="330" t="inlineStr">
        <is>
          <t>т</t>
        </is>
      </c>
      <c r="E148" s="332" t="n">
        <v>0.04761504</v>
      </c>
      <c r="F148" s="331" t="n">
        <v>1595.82</v>
      </c>
      <c r="G148" s="224">
        <f>ROUND(E148*F148,2)</f>
        <v/>
      </c>
      <c r="H148" s="289">
        <f>G148/$G$158</f>
        <v/>
      </c>
      <c r="I148" s="224">
        <f>ROUND(F148*Прил.10!$D$13,2)</f>
        <v/>
      </c>
      <c r="J148" s="224">
        <f>ROUND(I148*E148,2)</f>
        <v/>
      </c>
      <c r="K148" s="329" t="n"/>
    </row>
    <row r="149" hidden="1" outlineLevel="1" ht="25.5" customFormat="1" customHeight="1" s="329">
      <c r="A149" s="375" t="n">
        <v>119</v>
      </c>
      <c r="B149" s="330" t="inlineStr">
        <is>
          <t>08.1.02.11-0001</t>
        </is>
      </c>
      <c r="C149" s="331" t="inlineStr">
        <is>
          <t>Поковки из квадратных заготовок, масса 1,8 кг</t>
        </is>
      </c>
      <c r="D149" s="330" t="inlineStr">
        <is>
          <t>т</t>
        </is>
      </c>
      <c r="E149" s="332" t="n">
        <v>0.00433228561</v>
      </c>
      <c r="F149" s="331" t="n">
        <v>5990.32</v>
      </c>
      <c r="G149" s="224">
        <f>ROUND(E149*F149,2)</f>
        <v/>
      </c>
      <c r="H149" s="289">
        <f>G149/$G$158</f>
        <v/>
      </c>
      <c r="I149" s="224">
        <f>ROUND(F149*Прил.10!$D$13,2)</f>
        <v/>
      </c>
      <c r="J149" s="224">
        <f>ROUND(I149*E149,2)</f>
        <v/>
      </c>
      <c r="K149" s="329" t="n"/>
    </row>
    <row r="150" hidden="1" outlineLevel="1" ht="25.5" customFormat="1" customHeight="1" s="329">
      <c r="A150" s="375" t="n">
        <v>120</v>
      </c>
      <c r="B150" s="330" t="inlineStr">
        <is>
          <t>01.7.11.07-0040</t>
        </is>
      </c>
      <c r="C150" s="331" t="inlineStr">
        <is>
          <t>Электроды сварочные Э50А, диаметр 4 мм</t>
        </is>
      </c>
      <c r="D150" s="330" t="inlineStr">
        <is>
          <t>т</t>
        </is>
      </c>
      <c r="E150" s="332" t="n">
        <v>0.00205911</v>
      </c>
      <c r="F150" s="331" t="n">
        <v>11532.85</v>
      </c>
      <c r="G150" s="224">
        <f>ROUND(E150*F150,2)</f>
        <v/>
      </c>
      <c r="H150" s="289">
        <f>G150/$G$158</f>
        <v/>
      </c>
      <c r="I150" s="224">
        <f>ROUND(F150*Прил.10!$D$13,2)</f>
        <v/>
      </c>
      <c r="J150" s="224">
        <f>ROUND(I150*E150,2)</f>
        <v/>
      </c>
      <c r="K150" s="329" t="n"/>
    </row>
    <row r="151" hidden="1" outlineLevel="1" ht="14.25" customFormat="1" customHeight="1" s="329">
      <c r="A151" s="375" t="n">
        <v>121</v>
      </c>
      <c r="B151" s="330" t="inlineStr">
        <is>
          <t>12.1.02.06-0012</t>
        </is>
      </c>
      <c r="C151" s="331" t="inlineStr">
        <is>
          <t>Рубероид кровельный РКК-350</t>
        </is>
      </c>
      <c r="D151" s="330" t="inlineStr">
        <is>
          <t>м2</t>
        </is>
      </c>
      <c r="E151" s="332" t="n">
        <v>2.896782</v>
      </c>
      <c r="F151" s="331" t="n">
        <v>7.46</v>
      </c>
      <c r="G151" s="224">
        <f>ROUND(E151*F151,2)</f>
        <v/>
      </c>
      <c r="H151" s="289">
        <f>G151/$G$158</f>
        <v/>
      </c>
      <c r="I151" s="224">
        <f>ROUND(F151*Прил.10!$D$13,2)</f>
        <v/>
      </c>
      <c r="J151" s="224">
        <f>ROUND(I151*E151,2)</f>
        <v/>
      </c>
      <c r="K151" s="329" t="n"/>
    </row>
    <row r="152" hidden="1" outlineLevel="1" ht="38.25" customFormat="1" customHeight="1" s="329">
      <c r="A152" s="375" t="n">
        <v>122</v>
      </c>
      <c r="B152" s="330" t="inlineStr">
        <is>
          <t>11.1.03.01-0079</t>
        </is>
      </c>
      <c r="C152" s="331" t="inlineStr">
        <is>
          <t>Бруски обрезные, хвойных пород, длина 4-6,5 м, ширина 75-150 мм, толщина 40-75 мм, сорт III</t>
        </is>
      </c>
      <c r="D152" s="330" t="inlineStr">
        <is>
          <t>м3</t>
        </is>
      </c>
      <c r="E152" s="332" t="n">
        <v>0.01587168</v>
      </c>
      <c r="F152" s="331" t="n">
        <v>1286.83</v>
      </c>
      <c r="G152" s="224">
        <f>ROUND(E152*F152,2)</f>
        <v/>
      </c>
      <c r="H152" s="289">
        <f>G152/$G$158</f>
        <v/>
      </c>
      <c r="I152" s="224">
        <f>ROUND(F152*Прил.10!$D$13,2)</f>
        <v/>
      </c>
      <c r="J152" s="224">
        <f>ROUND(I152*E152,2)</f>
        <v/>
      </c>
      <c r="K152" s="329" t="n"/>
    </row>
    <row r="153" hidden="1" outlineLevel="1" ht="51" customFormat="1" customHeight="1" s="329">
      <c r="A153" s="375" t="n">
        <v>123</v>
      </c>
      <c r="B153" s="330" t="inlineStr">
        <is>
          <t>14.4.01.20-0001</t>
        </is>
      </c>
      <c r="C153" s="331" t="inlineStr">
        <is>
          <t>Грунт-краска антикоррозионная цинконаполненная на основе цинка и модифицированного химически стойкого каучука</t>
        </is>
      </c>
      <c r="D153" s="330" t="inlineStr">
        <is>
          <t>т</t>
        </is>
      </c>
      <c r="E153" s="332" t="n">
        <v>0.00016032</v>
      </c>
      <c r="F153" s="331" t="n">
        <v>107291.67</v>
      </c>
      <c r="G153" s="224">
        <f>ROUND(E153*F153,2)</f>
        <v/>
      </c>
      <c r="H153" s="289">
        <f>G153/$G$158</f>
        <v/>
      </c>
      <c r="I153" s="224">
        <f>ROUND(F153*Прил.10!$D$13,2)</f>
        <v/>
      </c>
      <c r="J153" s="224">
        <f>ROUND(I153*E153,2)</f>
        <v/>
      </c>
      <c r="K153" s="329" t="n"/>
    </row>
    <row r="154" hidden="1" outlineLevel="1" ht="14.25" customFormat="1" customHeight="1" s="329">
      <c r="A154" s="375" t="n">
        <v>124</v>
      </c>
      <c r="B154" s="330" t="inlineStr">
        <is>
          <t>01.7.15.06-0111</t>
        </is>
      </c>
      <c r="C154" s="331" t="inlineStr">
        <is>
          <t>Гвозди строительные</t>
        </is>
      </c>
      <c r="D154" s="330" t="inlineStr">
        <is>
          <t>т</t>
        </is>
      </c>
      <c r="E154" s="332" t="n">
        <v>0.0010316592</v>
      </c>
      <c r="F154" s="331" t="n">
        <v>11978.76</v>
      </c>
      <c r="G154" s="224">
        <f>ROUND(E154*F154,2)</f>
        <v/>
      </c>
      <c r="H154" s="289">
        <f>G154/$G$158</f>
        <v/>
      </c>
      <c r="I154" s="224">
        <f>ROUND(F154*Прил.10!$D$13,2)</f>
        <v/>
      </c>
      <c r="J154" s="224">
        <f>ROUND(I154*E154,2)</f>
        <v/>
      </c>
      <c r="K154" s="329" t="n"/>
    </row>
    <row r="155" hidden="1" outlineLevel="1" ht="38.25" customFormat="1" customHeight="1" s="329">
      <c r="A155" s="375" t="n">
        <v>125</v>
      </c>
      <c r="B155" s="330" t="inlineStr">
        <is>
          <t>14.4.01.20-0012</t>
        </is>
      </c>
      <c r="C155" s="331" t="inlineStr">
        <is>
          <t>Грунтовка антикоррозионная цинкнаполненная быстросохнущая, преобразователь ржавчины и окалины</t>
        </is>
      </c>
      <c r="D155" s="330" t="inlineStr">
        <is>
          <t>т</t>
        </is>
      </c>
      <c r="E155" s="332" t="n">
        <v>0.00012024</v>
      </c>
      <c r="F155" s="331" t="n">
        <v>86666.67</v>
      </c>
      <c r="G155" s="224">
        <f>ROUND(E155*F155,2)</f>
        <v/>
      </c>
      <c r="H155" s="289">
        <f>G155/$G$158</f>
        <v/>
      </c>
      <c r="I155" s="224">
        <f>ROUND(F155*Прил.10!$D$13,2)</f>
        <v/>
      </c>
      <c r="J155" s="224">
        <f>ROUND(I155*E155,2)</f>
        <v/>
      </c>
      <c r="K155" s="329" t="n"/>
    </row>
    <row r="156" hidden="1" outlineLevel="1" ht="14.25" customFormat="1" customHeight="1" s="329">
      <c r="A156" s="375" t="n">
        <v>126</v>
      </c>
      <c r="B156" s="330" t="inlineStr">
        <is>
          <t>01.7.15.02-0054</t>
        </is>
      </c>
      <c r="C156" s="331" t="inlineStr">
        <is>
          <t>Болты анкерные оцинкованные</t>
        </is>
      </c>
      <c r="D156" s="330" t="inlineStr">
        <is>
          <t>кг</t>
        </is>
      </c>
      <c r="E156" s="332" t="n">
        <v>0.529056</v>
      </c>
      <c r="F156" s="331" t="n">
        <v>11.52</v>
      </c>
      <c r="G156" s="224">
        <f>ROUND(E156*F156,2)</f>
        <v/>
      </c>
      <c r="H156" s="289">
        <f>G156/$G$158</f>
        <v/>
      </c>
      <c r="I156" s="224">
        <f>ROUND(F156*Прил.10!$D$13,2)</f>
        <v/>
      </c>
      <c r="J156" s="224">
        <f>ROUND(I156*E156,2)</f>
        <v/>
      </c>
      <c r="K156" s="329" t="n"/>
    </row>
    <row r="157" collapsed="1" ht="14.25" customFormat="1" customHeight="1" s="329">
      <c r="A157" s="375" t="n"/>
      <c r="B157" s="375" t="n"/>
      <c r="C157" s="383" t="inlineStr">
        <is>
          <t>Итого прочие материалы</t>
        </is>
      </c>
      <c r="D157" s="375" t="n"/>
      <c r="E157" s="384" t="n"/>
      <c r="F157" s="385" t="n"/>
      <c r="G157" s="344">
        <f>SUM(G87:G156)</f>
        <v/>
      </c>
      <c r="H157" s="289">
        <f>G157/$G$158</f>
        <v/>
      </c>
      <c r="I157" s="224" t="n"/>
      <c r="J157" s="344">
        <f>SUM(J87:J156)</f>
        <v/>
      </c>
    </row>
    <row r="158" ht="14.25" customFormat="1" customHeight="1" s="329">
      <c r="A158" s="375" t="n"/>
      <c r="B158" s="375" t="n"/>
      <c r="C158" s="382" t="inlineStr">
        <is>
          <t>Итого по разделу «Материалы»</t>
        </is>
      </c>
      <c r="D158" s="375" t="n"/>
      <c r="E158" s="384" t="n"/>
      <c r="F158" s="385" t="n"/>
      <c r="G158" s="224">
        <f>G86+G157</f>
        <v/>
      </c>
      <c r="H158" s="289">
        <f>G158/$G$158</f>
        <v/>
      </c>
      <c r="I158" s="224" t="n"/>
      <c r="J158" s="224">
        <f>J86+J157</f>
        <v/>
      </c>
    </row>
    <row r="159" ht="14.25" customFormat="1" customHeight="1" s="329">
      <c r="A159" s="375" t="n"/>
      <c r="B159" s="375" t="n"/>
      <c r="C159" s="383" t="inlineStr">
        <is>
          <t>ИТОГО ПО РМ</t>
        </is>
      </c>
      <c r="D159" s="375" t="n"/>
      <c r="E159" s="384" t="n"/>
      <c r="F159" s="385" t="n"/>
      <c r="G159" s="224">
        <f>G14+G68+G158</f>
        <v/>
      </c>
      <c r="H159" s="386" t="n"/>
      <c r="I159" s="224" t="n"/>
      <c r="J159" s="224">
        <f>J14+J68+J158</f>
        <v/>
      </c>
    </row>
    <row r="160" ht="14.25" customFormat="1" customHeight="1" s="329">
      <c r="A160" s="375" t="n"/>
      <c r="B160" s="375" t="n"/>
      <c r="C160" s="383" t="inlineStr">
        <is>
          <t>Накладные расходы</t>
        </is>
      </c>
      <c r="D160" s="221" t="n">
        <v>1.06</v>
      </c>
      <c r="E160" s="384" t="n"/>
      <c r="F160" s="385" t="n"/>
      <c r="G160" s="224" t="n">
        <v>436479</v>
      </c>
      <c r="H160" s="386" t="n"/>
      <c r="I160" s="224" t="n"/>
      <c r="J160" s="224">
        <f>ROUND(D160*(J14+J16),2)</f>
        <v/>
      </c>
    </row>
    <row r="161" ht="14.25" customFormat="1" customHeight="1" s="329">
      <c r="A161" s="375" t="n"/>
      <c r="B161" s="375" t="n"/>
      <c r="C161" s="383" t="inlineStr">
        <is>
          <t>Сметная прибыль</t>
        </is>
      </c>
      <c r="D161" s="221" t="n">
        <v>0.55</v>
      </c>
      <c r="E161" s="384" t="n"/>
      <c r="F161" s="385" t="n"/>
      <c r="G161" s="224" t="n">
        <v>227852</v>
      </c>
      <c r="H161" s="386" t="n"/>
      <c r="I161" s="224" t="n"/>
      <c r="J161" s="224">
        <f>ROUND(D161*(J14+J16),2)</f>
        <v/>
      </c>
    </row>
    <row r="162" ht="14.25" customFormat="1" customHeight="1" s="329">
      <c r="A162" s="375" t="n"/>
      <c r="B162" s="375" t="n"/>
      <c r="C162" s="383" t="inlineStr">
        <is>
          <t>Итого СМР (с НР и СП)</t>
        </is>
      </c>
      <c r="D162" s="375" t="n"/>
      <c r="E162" s="384" t="n"/>
      <c r="F162" s="385" t="n"/>
      <c r="G162" s="224">
        <f>G14+G68+G158+G160+G161</f>
        <v/>
      </c>
      <c r="H162" s="386" t="n"/>
      <c r="I162" s="224" t="n"/>
      <c r="J162" s="224">
        <f>J14+J68+J158+J160+J161</f>
        <v/>
      </c>
    </row>
    <row r="163" ht="14.25" customFormat="1" customHeight="1" s="329">
      <c r="A163" s="375" t="n"/>
      <c r="B163" s="375" t="n"/>
      <c r="C163" s="383" t="inlineStr">
        <is>
          <t>ВСЕГО СМР + ОБОРУДОВАНИЕ</t>
        </is>
      </c>
      <c r="D163" s="375" t="n"/>
      <c r="E163" s="384" t="n"/>
      <c r="F163" s="385" t="n"/>
      <c r="G163" s="224">
        <f>G162+G73</f>
        <v/>
      </c>
      <c r="H163" s="386" t="n"/>
      <c r="I163" s="224" t="n"/>
      <c r="J163" s="224">
        <f>J162+J73</f>
        <v/>
      </c>
    </row>
    <row r="164" ht="34.5" customFormat="1" customHeight="1" s="329">
      <c r="A164" s="375" t="n"/>
      <c r="B164" s="375" t="n"/>
      <c r="C164" s="383" t="inlineStr">
        <is>
          <t>ИТОГО ПОКАЗАТЕЛЬ НА ЕД. ИЗМ.</t>
        </is>
      </c>
      <c r="D164" s="375" t="inlineStr">
        <is>
          <t>км</t>
        </is>
      </c>
      <c r="E164" s="290" t="n">
        <v>25.65</v>
      </c>
      <c r="F164" s="385" t="n"/>
      <c r="G164" s="224">
        <f>G163/E164</f>
        <v/>
      </c>
      <c r="H164" s="386" t="n"/>
      <c r="I164" s="224" t="n"/>
      <c r="J164" s="224">
        <f>J163/E164</f>
        <v/>
      </c>
    </row>
    <row r="166" ht="14.25" customFormat="1" customHeight="1" s="329">
      <c r="A166" s="334" t="inlineStr">
        <is>
          <t>Составил ______________________     А.Р. Маркова</t>
        </is>
      </c>
    </row>
    <row r="167" ht="14.25" customFormat="1" customHeight="1" s="329">
      <c r="A167" s="299" t="inlineStr">
        <is>
          <t xml:space="preserve">                         (подпись, инициалы, фамилия)</t>
        </is>
      </c>
    </row>
    <row r="168" ht="14.25" customFormat="1" customHeight="1" s="329">
      <c r="A168" s="334" t="n"/>
    </row>
    <row r="169" ht="14.25" customFormat="1" customHeight="1" s="329">
      <c r="A169" s="334" t="inlineStr">
        <is>
          <t>Проверил ______________________        А.В. Костянецкая</t>
        </is>
      </c>
    </row>
    <row r="170" ht="14.25" customFormat="1" customHeight="1" s="329">
      <c r="A170" s="299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B15:H15"/>
    <mergeCell ref="H2:J2"/>
    <mergeCell ref="B76:H76"/>
    <mergeCell ref="C9:C10"/>
    <mergeCell ref="E9:E10"/>
    <mergeCell ref="A7:H7"/>
    <mergeCell ref="B75:H75"/>
    <mergeCell ref="B9:B10"/>
    <mergeCell ref="D9:D10"/>
    <mergeCell ref="B18:H18"/>
    <mergeCell ref="B12:H12"/>
    <mergeCell ref="D6:J6"/>
    <mergeCell ref="B70:H70"/>
    <mergeCell ref="A8:H8"/>
    <mergeCell ref="F9:G9"/>
    <mergeCell ref="B17:H17"/>
    <mergeCell ref="A9:A10"/>
    <mergeCell ref="B69:H69"/>
    <mergeCell ref="I9:J9"/>
  </mergeCells>
  <conditionalFormatting sqref="B125:B156">
    <cfRule type="duplicateValues" priority="1" dxfId="0"/>
  </conditionalFormatting>
  <pageMargins left="0.7086614173228351" right="0.7086614173228351" top="0.748031496062992" bottom="0.748031496062992" header="0.31496062992126" footer="0.31496062992126"/>
  <pageSetup orientation="landscape" paperSize="9" scale="79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workbookViewId="0">
      <selection activeCell="D25" sqref="D25"/>
    </sheetView>
  </sheetViews>
  <sheetFormatPr baseColWidth="8" defaultRowHeight="15"/>
  <cols>
    <col width="5.7109375" customWidth="1" style="296" min="1" max="1"/>
    <col width="17.5703125" customWidth="1" style="296" min="2" max="2"/>
    <col width="39.140625" customWidth="1" style="296" min="3" max="3"/>
    <col width="10.7109375" customWidth="1" style="296" min="4" max="4"/>
    <col width="13.85546875" customWidth="1" style="296" min="5" max="5"/>
    <col width="13.28515625" customWidth="1" style="296" min="6" max="6"/>
    <col width="14.140625" customWidth="1" style="296" min="7" max="7"/>
  </cols>
  <sheetData>
    <row r="1">
      <c r="A1" s="397" t="inlineStr">
        <is>
          <t>Приложение №6</t>
        </is>
      </c>
    </row>
    <row r="2" ht="21.75" customHeight="1" s="296">
      <c r="A2" s="397" t="n"/>
      <c r="B2" s="397" t="n"/>
      <c r="C2" s="397" t="n"/>
      <c r="D2" s="397" t="n"/>
      <c r="E2" s="397" t="n"/>
      <c r="F2" s="397" t="n"/>
      <c r="G2" s="397" t="n"/>
    </row>
    <row r="3">
      <c r="A3" s="346" t="inlineStr">
        <is>
          <t>Расчет стоимости оборудования</t>
        </is>
      </c>
    </row>
    <row r="4" ht="25.5" customHeight="1" s="296">
      <c r="A4" s="349" t="inlineStr">
        <is>
          <t>Наименование разрабатываемого показателя УНЦ — Строительно-монтажные работы ВЛ 0,4-750 кВ без опор и провода. Двухцепная, многогранные опоры 330 кВ.</t>
        </is>
      </c>
    </row>
    <row r="5">
      <c r="A5" s="334" t="n"/>
      <c r="B5" s="334" t="n"/>
      <c r="C5" s="334" t="n"/>
      <c r="D5" s="334" t="n"/>
      <c r="E5" s="334" t="n"/>
      <c r="F5" s="334" t="n"/>
      <c r="G5" s="334" t="n"/>
    </row>
    <row r="6" ht="30" customHeight="1" s="296">
      <c r="A6" s="402" t="inlineStr">
        <is>
          <t>№ пп.</t>
        </is>
      </c>
      <c r="B6" s="402" t="inlineStr">
        <is>
          <t>Код ресурса</t>
        </is>
      </c>
      <c r="C6" s="402" t="inlineStr">
        <is>
          <t>Наименование</t>
        </is>
      </c>
      <c r="D6" s="402" t="inlineStr">
        <is>
          <t>Ед. изм.</t>
        </is>
      </c>
      <c r="E6" s="375" t="inlineStr">
        <is>
          <t>Кол-во единиц по проектным данным</t>
        </is>
      </c>
      <c r="F6" s="402" t="inlineStr">
        <is>
          <t>Сметная стоимость в ценах на 01.01.2000 (руб.)</t>
        </is>
      </c>
      <c r="G6" s="448" t="n"/>
    </row>
    <row r="7">
      <c r="A7" s="450" t="n"/>
      <c r="B7" s="450" t="n"/>
      <c r="C7" s="450" t="n"/>
      <c r="D7" s="450" t="n"/>
      <c r="E7" s="450" t="n"/>
      <c r="F7" s="375" t="inlineStr">
        <is>
          <t>на ед. изм.</t>
        </is>
      </c>
      <c r="G7" s="375" t="inlineStr">
        <is>
          <t>общая</t>
        </is>
      </c>
    </row>
    <row r="8">
      <c r="A8" s="375" t="n">
        <v>1</v>
      </c>
      <c r="B8" s="375" t="n">
        <v>2</v>
      </c>
      <c r="C8" s="375" t="n">
        <v>3</v>
      </c>
      <c r="D8" s="375" t="n">
        <v>4</v>
      </c>
      <c r="E8" s="375" t="n">
        <v>5</v>
      </c>
      <c r="F8" s="375" t="n">
        <v>6</v>
      </c>
      <c r="G8" s="375" t="n">
        <v>7</v>
      </c>
    </row>
    <row r="9" ht="15" customHeight="1" s="296">
      <c r="A9" s="260" t="n"/>
      <c r="B9" s="383" t="inlineStr">
        <is>
          <t>ИНЖЕНЕРНОЕ ОБОРУДОВАНИЕ</t>
        </is>
      </c>
      <c r="C9" s="447" t="n"/>
      <c r="D9" s="447" t="n"/>
      <c r="E9" s="447" t="n"/>
      <c r="F9" s="447" t="n"/>
      <c r="G9" s="448" t="n"/>
    </row>
    <row r="10" ht="27" customHeight="1" s="296">
      <c r="A10" s="375" t="n"/>
      <c r="B10" s="382" t="n"/>
      <c r="C10" s="383" t="inlineStr">
        <is>
          <t>ИТОГО ИНЖЕНЕРНОЕ ОБОРУДОВАНИЕ</t>
        </is>
      </c>
      <c r="D10" s="382" t="n"/>
      <c r="E10" s="148" t="n"/>
      <c r="F10" s="385" t="n"/>
      <c r="G10" s="385" t="n">
        <v>0</v>
      </c>
    </row>
    <row r="11">
      <c r="A11" s="375" t="n"/>
      <c r="B11" s="383" t="inlineStr">
        <is>
          <t>ТЕХНОЛОГИЧЕСКОЕ ОБОРУДОВАНИЕ</t>
        </is>
      </c>
      <c r="C11" s="447" t="n"/>
      <c r="D11" s="447" t="n"/>
      <c r="E11" s="447" t="n"/>
      <c r="F11" s="447" t="n"/>
      <c r="G11" s="448" t="n"/>
    </row>
    <row r="12" ht="25.5" customHeight="1" s="296">
      <c r="A12" s="375" t="n"/>
      <c r="B12" s="383" t="n"/>
      <c r="C12" s="383" t="inlineStr">
        <is>
          <t>ИТОГО ТЕХНОЛОГИЧЕСКОЕ ОБОРУДОВАНИЕ</t>
        </is>
      </c>
      <c r="D12" s="383" t="n"/>
      <c r="E12" s="401" t="n"/>
      <c r="F12" s="385" t="n"/>
      <c r="G12" s="224" t="n">
        <v>0</v>
      </c>
    </row>
    <row r="13" ht="19.5" customHeight="1" s="296">
      <c r="A13" s="375" t="n"/>
      <c r="B13" s="383" t="n"/>
      <c r="C13" s="383" t="inlineStr">
        <is>
          <t>Всего по разделу «Оборудование»</t>
        </is>
      </c>
      <c r="D13" s="383" t="n"/>
      <c r="E13" s="401" t="n"/>
      <c r="F13" s="385" t="n"/>
      <c r="G13" s="224" t="n">
        <v>0</v>
      </c>
    </row>
    <row r="14">
      <c r="A14" s="298" t="n"/>
      <c r="B14" s="327" t="n"/>
      <c r="C14" s="298" t="n"/>
      <c r="D14" s="298" t="n"/>
      <c r="E14" s="298" t="n"/>
      <c r="F14" s="298" t="n"/>
      <c r="G14" s="298" t="n"/>
    </row>
    <row r="15">
      <c r="A15" s="334" t="inlineStr">
        <is>
          <t>Составил ______________________    А.Р. Маркова</t>
        </is>
      </c>
      <c r="B15" s="329" t="n"/>
      <c r="C15" s="329" t="n"/>
      <c r="D15" s="298" t="n"/>
      <c r="E15" s="298" t="n"/>
      <c r="F15" s="298" t="n"/>
      <c r="G15" s="298" t="n"/>
    </row>
    <row r="16">
      <c r="A16" s="299" t="inlineStr">
        <is>
          <t xml:space="preserve">                         (подпись, инициалы, фамилия)</t>
        </is>
      </c>
      <c r="B16" s="329" t="n"/>
      <c r="C16" s="329" t="n"/>
      <c r="D16" s="298" t="n"/>
      <c r="E16" s="298" t="n"/>
      <c r="F16" s="298" t="n"/>
      <c r="G16" s="298" t="n"/>
    </row>
    <row r="17">
      <c r="A17" s="334" t="n"/>
      <c r="B17" s="329" t="n"/>
      <c r="C17" s="329" t="n"/>
      <c r="D17" s="298" t="n"/>
      <c r="E17" s="298" t="n"/>
      <c r="F17" s="298" t="n"/>
      <c r="G17" s="298" t="n"/>
    </row>
    <row r="18">
      <c r="A18" s="334" t="inlineStr">
        <is>
          <t>Проверил ______________________        А.В. Костянецкая</t>
        </is>
      </c>
      <c r="B18" s="329" t="n"/>
      <c r="C18" s="329" t="n"/>
      <c r="D18" s="298" t="n"/>
      <c r="E18" s="298" t="n"/>
      <c r="F18" s="298" t="n"/>
      <c r="G18" s="298" t="n"/>
    </row>
    <row r="19">
      <c r="A19" s="299" t="inlineStr">
        <is>
          <t xml:space="preserve">                        (подпись, инициалы, фамилия)</t>
        </is>
      </c>
      <c r="B19" s="329" t="n"/>
      <c r="C19" s="329" t="n"/>
      <c r="D19" s="298" t="n"/>
      <c r="E19" s="298" t="n"/>
      <c r="F19" s="298" t="n"/>
      <c r="G19" s="298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C14" sqref="C14"/>
    </sheetView>
  </sheetViews>
  <sheetFormatPr baseColWidth="8" defaultColWidth="8.85546875" defaultRowHeight="15"/>
  <cols>
    <col width="12.42578125" customWidth="1" style="296" min="1" max="1"/>
    <col width="27.42578125" customWidth="1" style="296" min="2" max="2"/>
    <col width="51.5703125" customWidth="1" style="296" min="3" max="3"/>
    <col width="38.140625" customWidth="1" style="296" min="4" max="4"/>
    <col width="8.85546875" customWidth="1" style="296" min="5" max="5"/>
  </cols>
  <sheetData>
    <row r="1">
      <c r="B1" s="334" t="n"/>
      <c r="C1" s="334" t="n"/>
      <c r="D1" s="397" t="inlineStr">
        <is>
          <t>Приложение №7</t>
        </is>
      </c>
    </row>
    <row r="2">
      <c r="A2" s="397" t="n"/>
      <c r="B2" s="397" t="n"/>
      <c r="C2" s="397" t="n"/>
      <c r="D2" s="397" t="n"/>
    </row>
    <row r="3">
      <c r="A3" s="346" t="inlineStr">
        <is>
          <t>Расчет показателя УНЦ</t>
        </is>
      </c>
    </row>
    <row r="4">
      <c r="A4" s="346" t="n"/>
      <c r="B4" s="346" t="n"/>
      <c r="C4" s="346" t="n"/>
      <c r="D4" s="346" t="n"/>
    </row>
    <row r="5" ht="52.9" customHeight="1" s="296">
      <c r="A5" s="349" t="inlineStr">
        <is>
          <t xml:space="preserve">Наименование разрабатываемого показателя УНЦ - </t>
        </is>
      </c>
      <c r="D5" s="349">
        <f>'Прил.5 Расчет СМР и ОБ'!D6:J6</f>
        <v/>
      </c>
    </row>
    <row r="6">
      <c r="A6" s="349" t="inlineStr">
        <is>
          <t>Единица измерения  — 1 км</t>
        </is>
      </c>
      <c r="D6" s="349" t="n"/>
    </row>
    <row r="7">
      <c r="A7" s="334" t="n"/>
      <c r="B7" s="334" t="n"/>
      <c r="C7" s="334" t="n"/>
      <c r="D7" s="334" t="n"/>
    </row>
    <row r="8">
      <c r="A8" s="375" t="inlineStr">
        <is>
          <t>Код показателя</t>
        </is>
      </c>
      <c r="B8" s="375" t="inlineStr">
        <is>
          <t>Наименование показателя</t>
        </is>
      </c>
      <c r="C8" s="375" t="inlineStr">
        <is>
          <t>Наименование РМ, входящих в состав показателя</t>
        </is>
      </c>
      <c r="D8" s="375" t="inlineStr">
        <is>
          <t>Норматив цены на 01.01.2023, тыс.руб.</t>
        </is>
      </c>
    </row>
    <row r="9" ht="27" customHeight="1" s="296">
      <c r="A9" s="450" t="n"/>
      <c r="B9" s="450" t="n"/>
      <c r="C9" s="450" t="n"/>
      <c r="D9" s="450" t="n"/>
    </row>
    <row r="10">
      <c r="A10" s="375" t="n">
        <v>1</v>
      </c>
      <c r="B10" s="375" t="n">
        <v>2</v>
      </c>
      <c r="C10" s="375" t="n">
        <v>3</v>
      </c>
      <c r="D10" s="375" t="n">
        <v>4</v>
      </c>
    </row>
    <row r="11" ht="69" customHeight="1" s="296">
      <c r="A11" s="375" t="inlineStr">
        <is>
          <t>Л1-06-4</t>
        </is>
      </c>
      <c r="B11" s="375" t="inlineStr">
        <is>
          <t>УНЦ ВЛ 0,4 - 750 кВ на строительно-монтажные работы без опор и провода</t>
        </is>
      </c>
      <c r="C11" s="325">
        <f>D5</f>
        <v/>
      </c>
      <c r="D11" s="326">
        <f>'Прил.4 РМ'!C41/1000</f>
        <v/>
      </c>
    </row>
    <row r="12">
      <c r="A12" s="298" t="n"/>
      <c r="B12" s="327" t="n"/>
      <c r="C12" s="298" t="n"/>
      <c r="D12" s="298" t="n"/>
    </row>
    <row r="13">
      <c r="A13" s="334" t="inlineStr">
        <is>
          <t>Составил ______________________      А.Р. Маркова</t>
        </is>
      </c>
      <c r="B13" s="329" t="n"/>
      <c r="C13" s="329" t="n"/>
      <c r="D13" s="298" t="n"/>
    </row>
    <row r="14">
      <c r="A14" s="299" t="inlineStr">
        <is>
          <t xml:space="preserve">                         (подпись, инициалы, фамилия)</t>
        </is>
      </c>
      <c r="B14" s="329" t="n"/>
      <c r="C14" s="329" t="n"/>
      <c r="D14" s="298" t="n"/>
    </row>
    <row r="15">
      <c r="A15" s="334" t="n"/>
      <c r="B15" s="329" t="n"/>
      <c r="C15" s="329" t="n"/>
      <c r="D15" s="298" t="n"/>
    </row>
    <row r="16">
      <c r="A16" s="334" t="inlineStr">
        <is>
          <t>Проверил ______________________        А.В. Костянецкая</t>
        </is>
      </c>
      <c r="B16" s="329" t="n"/>
      <c r="C16" s="329" t="n"/>
      <c r="D16" s="298" t="n"/>
    </row>
    <row r="17">
      <c r="A17" s="299" t="inlineStr">
        <is>
          <t xml:space="preserve">                        (подпись, инициалы, фамилия)</t>
        </is>
      </c>
      <c r="B17" s="329" t="n"/>
      <c r="C17" s="329" t="n"/>
      <c r="D17" s="298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68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26"/>
  <sheetViews>
    <sheetView view="pageBreakPreview" zoomScale="60" zoomScaleNormal="85" workbookViewId="0">
      <selection activeCell="E24" sqref="E24"/>
    </sheetView>
  </sheetViews>
  <sheetFormatPr baseColWidth="8" defaultRowHeight="15"/>
  <cols>
    <col width="9.140625" customWidth="1" style="296" min="1" max="1"/>
    <col width="40.7109375" customWidth="1" style="296" min="2" max="2"/>
    <col width="37" customWidth="1" style="296" min="3" max="3"/>
    <col width="32" customWidth="1" style="296" min="4" max="4"/>
    <col width="9.140625" customWidth="1" style="296" min="5" max="5"/>
  </cols>
  <sheetData>
    <row r="4" ht="15.75" customHeight="1" s="296">
      <c r="B4" s="353" t="inlineStr">
        <is>
          <t>Приложение № 10</t>
        </is>
      </c>
    </row>
    <row r="5" ht="18.75" customHeight="1" s="296">
      <c r="B5" s="190" t="n"/>
    </row>
    <row r="6" ht="15.75" customHeight="1" s="296">
      <c r="B6" s="354" t="inlineStr">
        <is>
          <t>Используемые индексы изменений сметной стоимости и нормы сопутствующих затрат</t>
        </is>
      </c>
    </row>
    <row r="7">
      <c r="B7" s="403" t="n"/>
    </row>
    <row r="8">
      <c r="B8" s="403" t="n"/>
      <c r="C8" s="403" t="n"/>
      <c r="D8" s="403" t="n"/>
      <c r="E8" s="403" t="n"/>
    </row>
    <row r="9" ht="47.25" customHeight="1" s="296">
      <c r="B9" s="362" t="inlineStr">
        <is>
          <t>Наименование индекса / норм сопутствующих затрат</t>
        </is>
      </c>
      <c r="C9" s="362" t="inlineStr">
        <is>
          <t>Дата применения и обоснование индекса / норм сопутствующих затрат</t>
        </is>
      </c>
      <c r="D9" s="362" t="inlineStr">
        <is>
          <t>Размер индекса / норма сопутствующих затрат</t>
        </is>
      </c>
    </row>
    <row r="10" ht="15.75" customHeight="1" s="296">
      <c r="B10" s="362" t="n">
        <v>1</v>
      </c>
      <c r="C10" s="362" t="n">
        <v>2</v>
      </c>
      <c r="D10" s="362" t="n">
        <v>3</v>
      </c>
    </row>
    <row r="11" ht="45" customHeight="1" s="296">
      <c r="B11" s="362" t="inlineStr">
        <is>
          <t xml:space="preserve">Индекс изменения сметной стоимости на 1 квартал 2023 года. ОЗП </t>
        </is>
      </c>
      <c r="C11" s="362" t="inlineStr">
        <is>
          <t>Письмо Минстроя России от 01.04.2023г. №17772-ИФ/09 прил.9</t>
        </is>
      </c>
      <c r="D11" s="362" t="n">
        <v>46.83</v>
      </c>
    </row>
    <row r="12" ht="29.25" customHeight="1" s="296">
      <c r="B12" s="362" t="inlineStr">
        <is>
          <t>Индекс изменения сметной стоимости на 1 квартал 2023 года. ЭМ</t>
        </is>
      </c>
      <c r="C12" s="362" t="inlineStr">
        <is>
          <t>Письмо Минстроя России от 01.04.2023г. №17772-ИФ/09 прил.9</t>
        </is>
      </c>
      <c r="D12" s="362" t="n">
        <v>11.79</v>
      </c>
    </row>
    <row r="13" ht="29.25" customHeight="1" s="296">
      <c r="B13" s="362" t="inlineStr">
        <is>
          <t>Индекс изменения сметной стоимости на 1 квартал 2023 года. МАТ</t>
        </is>
      </c>
      <c r="C13" s="362" t="inlineStr">
        <is>
          <t>Письмо Минстроя России от 01.04.2023г. №17772-ИФ/09 прил.9</t>
        </is>
      </c>
      <c r="D13" s="362" t="n">
        <v>9.140000000000001</v>
      </c>
    </row>
    <row r="14" ht="30.75" customHeight="1" s="296">
      <c r="B14" s="362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62" t="n">
        <v>6.26</v>
      </c>
    </row>
    <row r="15" ht="89.25" customHeight="1" s="296">
      <c r="B15" s="362" t="inlineStr">
        <is>
          <t>Временные здания и сооружения</t>
        </is>
      </c>
      <c r="C15" s="362" t="inlineStr">
        <is>
          <t xml:space="preserve">п.39.1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93" t="n">
        <v>0.033</v>
      </c>
    </row>
    <row r="16" ht="78.75" customHeight="1" s="296">
      <c r="B16" s="362" t="inlineStr">
        <is>
          <t>Дополнительные затраты при производстве строительно-монтажных работ в зимнее время</t>
        </is>
      </c>
      <c r="C16" s="362" t="inlineStr">
        <is>
          <t xml:space="preserve">п.51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93" t="n">
        <v>0.01</v>
      </c>
    </row>
    <row r="17" ht="31.5" customHeight="1" s="296">
      <c r="B17" s="362" t="inlineStr">
        <is>
          <t>Строительный контроль</t>
        </is>
      </c>
      <c r="C17" s="362" t="inlineStr">
        <is>
          <t>Постановление Правительства РФ от 21.06.10 г. № 468</t>
        </is>
      </c>
      <c r="D17" s="193" t="n">
        <v>0.0214</v>
      </c>
    </row>
    <row r="18" ht="31.5" customHeight="1" s="296">
      <c r="B18" s="362" t="inlineStr">
        <is>
          <t>Авторский надзор - 0,2%</t>
        </is>
      </c>
      <c r="C18" s="362" t="inlineStr">
        <is>
          <t>Приказ от 4.08.2020 № 421/пр п.173</t>
        </is>
      </c>
      <c r="D18" s="193" t="n">
        <v>0.002</v>
      </c>
    </row>
    <row r="19" ht="24" customHeight="1" s="296">
      <c r="B19" s="362" t="inlineStr">
        <is>
          <t>Непредвиденные расходы</t>
        </is>
      </c>
      <c r="C19" s="362" t="inlineStr">
        <is>
          <t>Приказ от 4.08.2020 № 421/пр п.179</t>
        </is>
      </c>
      <c r="D19" s="193" t="n">
        <v>0.03</v>
      </c>
    </row>
    <row r="20" ht="18.75" customHeight="1" s="296">
      <c r="B20" s="273" t="n"/>
    </row>
    <row r="22">
      <c r="B22" s="334" t="inlineStr">
        <is>
          <t>Составил ______________________        А.Р. Маркова</t>
        </is>
      </c>
      <c r="C22" s="329" t="n"/>
    </row>
    <row r="23">
      <c r="B23" s="299" t="inlineStr">
        <is>
          <t xml:space="preserve">                         (подпись, инициалы, фамилия)</t>
        </is>
      </c>
      <c r="C23" s="329" t="n"/>
    </row>
    <row r="24">
      <c r="B24" s="334" t="n"/>
      <c r="C24" s="329" t="n"/>
    </row>
    <row r="25">
      <c r="B25" s="334" t="inlineStr">
        <is>
          <t>Проверил ______________________        А.В. Костянецкая</t>
        </is>
      </c>
      <c r="C25" s="329" t="n"/>
    </row>
    <row r="26">
      <c r="B26" s="299" t="inlineStr">
        <is>
          <t xml:space="preserve">                        (подпись, инициалы, фамилия)</t>
        </is>
      </c>
      <c r="C26" s="329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workbookViewId="0">
      <selection activeCell="G1" sqref="G1:G1048576"/>
    </sheetView>
  </sheetViews>
  <sheetFormatPr baseColWidth="8" defaultRowHeight="15"/>
  <cols>
    <col width="9.140625" customWidth="1" style="296" min="1" max="1"/>
    <col width="44.85546875" customWidth="1" style="296" min="2" max="2"/>
    <col width="13" customWidth="1" style="296" min="3" max="3"/>
    <col width="22.85546875" customWidth="1" style="296" min="4" max="4"/>
    <col width="21.5703125" customWidth="1" style="296" min="5" max="5"/>
    <col width="43.85546875" customWidth="1" style="296" min="6" max="6"/>
    <col width="9.140625" customWidth="1" style="296" min="7" max="7"/>
  </cols>
  <sheetData>
    <row r="2" ht="17.25" customHeight="1" s="296">
      <c r="A2" s="354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296">
      <c r="A4" s="173" t="inlineStr">
        <is>
          <t>Составлен в уровне цен на 01.01.2023 г.</t>
        </is>
      </c>
      <c r="B4" s="333" t="n"/>
      <c r="C4" s="333" t="n"/>
      <c r="D4" s="333" t="n"/>
      <c r="E4" s="333" t="n"/>
      <c r="F4" s="333" t="n"/>
      <c r="G4" s="333" t="n"/>
    </row>
    <row r="5" ht="15.75" customHeight="1" s="296">
      <c r="A5" s="175" t="inlineStr">
        <is>
          <t>№ пп.</t>
        </is>
      </c>
      <c r="B5" s="175" t="inlineStr">
        <is>
          <t>Наименование элемента</t>
        </is>
      </c>
      <c r="C5" s="175" t="inlineStr">
        <is>
          <t>Обозначение</t>
        </is>
      </c>
      <c r="D5" s="175" t="inlineStr">
        <is>
          <t>Формула</t>
        </is>
      </c>
      <c r="E5" s="175" t="inlineStr">
        <is>
          <t>Величина элемента</t>
        </is>
      </c>
      <c r="F5" s="175" t="inlineStr">
        <is>
          <t>Наименования обосновывающих документов</t>
        </is>
      </c>
      <c r="G5" s="333" t="n"/>
    </row>
    <row r="6" ht="15.75" customHeight="1" s="296">
      <c r="A6" s="175" t="n">
        <v>1</v>
      </c>
      <c r="B6" s="175" t="n">
        <v>2</v>
      </c>
      <c r="C6" s="175" t="n">
        <v>3</v>
      </c>
      <c r="D6" s="175" t="n">
        <v>4</v>
      </c>
      <c r="E6" s="175" t="n">
        <v>5</v>
      </c>
      <c r="F6" s="175" t="n">
        <v>6</v>
      </c>
      <c r="G6" s="333" t="n"/>
    </row>
    <row r="7" ht="110.25" customHeight="1" s="296">
      <c r="A7" s="176" t="inlineStr">
        <is>
          <t>1.1</t>
        </is>
      </c>
      <c r="B7" s="18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62" t="inlineStr">
        <is>
          <t>С1ср</t>
        </is>
      </c>
      <c r="D7" s="362" t="inlineStr">
        <is>
          <t>-</t>
        </is>
      </c>
      <c r="E7" s="320" t="n">
        <v>47872.94</v>
      </c>
      <c r="F7" s="18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33" t="n"/>
    </row>
    <row r="8" ht="31.5" customHeight="1" s="296">
      <c r="A8" s="176" t="inlineStr">
        <is>
          <t>1.2</t>
        </is>
      </c>
      <c r="B8" s="180" t="inlineStr">
        <is>
          <t>Среднегодовое нормативное число часов работы одного рабочего в месяц, часы (ч.)</t>
        </is>
      </c>
      <c r="C8" s="362" t="inlineStr">
        <is>
          <t>tср</t>
        </is>
      </c>
      <c r="D8" s="362" t="inlineStr">
        <is>
          <t>1973ч/12мес.</t>
        </is>
      </c>
      <c r="E8" s="320">
        <f>1973/12</f>
        <v/>
      </c>
      <c r="F8" s="180" t="inlineStr">
        <is>
          <t>Производственный календарь 2023 год
(40-часов.неделя)</t>
        </is>
      </c>
      <c r="G8" s="182" t="n"/>
    </row>
    <row r="9" ht="15.75" customHeight="1" s="296">
      <c r="A9" s="176" t="inlineStr">
        <is>
          <t>1.3</t>
        </is>
      </c>
      <c r="B9" s="180" t="inlineStr">
        <is>
          <t>Коэффициент увеличения</t>
        </is>
      </c>
      <c r="C9" s="362" t="inlineStr">
        <is>
          <t>Кув</t>
        </is>
      </c>
      <c r="D9" s="362" t="inlineStr">
        <is>
          <t>-</t>
        </is>
      </c>
      <c r="E9" s="320" t="n">
        <v>1</v>
      </c>
      <c r="F9" s="180" t="n"/>
      <c r="G9" s="182" t="n"/>
    </row>
    <row r="10" ht="15.75" customHeight="1" s="296">
      <c r="A10" s="176" t="inlineStr">
        <is>
          <t>1.4</t>
        </is>
      </c>
      <c r="B10" s="180" t="inlineStr">
        <is>
          <t>Средний разряд работ</t>
        </is>
      </c>
      <c r="C10" s="362" t="n"/>
      <c r="D10" s="362" t="n"/>
      <c r="E10" s="183" t="n">
        <v>3.4</v>
      </c>
      <c r="F10" s="180" t="inlineStr">
        <is>
          <t>РТМ</t>
        </is>
      </c>
      <c r="G10" s="182" t="n"/>
    </row>
    <row r="11" ht="78.75" customHeight="1" s="296">
      <c r="A11" s="176" t="inlineStr">
        <is>
          <t>1.5</t>
        </is>
      </c>
      <c r="B11" s="180" t="inlineStr">
        <is>
          <t>Тарифный коэффициент среднего разряда работ</t>
        </is>
      </c>
      <c r="C11" s="362" t="inlineStr">
        <is>
          <t>КТ</t>
        </is>
      </c>
      <c r="D11" s="362" t="inlineStr">
        <is>
          <t>-</t>
        </is>
      </c>
      <c r="E11" s="184" t="n">
        <v>1.247</v>
      </c>
      <c r="F11" s="18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33" t="n"/>
    </row>
    <row r="12" ht="78.75" customHeight="1" s="296">
      <c r="A12" s="176" t="inlineStr">
        <is>
          <t>1.6</t>
        </is>
      </c>
      <c r="B12" s="305" t="inlineStr">
        <is>
          <t>Коэффициент инфляции, определяемый поквартально</t>
        </is>
      </c>
      <c r="C12" s="362" t="inlineStr">
        <is>
          <t>Кинф</t>
        </is>
      </c>
      <c r="D12" s="362" t="inlineStr">
        <is>
          <t>-</t>
        </is>
      </c>
      <c r="E12" s="186" t="n">
        <v>1.139</v>
      </c>
      <c r="F12" s="18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82" t="n"/>
    </row>
    <row r="13" ht="63" customHeight="1" s="296">
      <c r="A13" s="176" t="inlineStr">
        <is>
          <t>1.7</t>
        </is>
      </c>
      <c r="B13" s="188" t="inlineStr">
        <is>
          <t>Размер средств на оплату труда рабочих-строителей в текущем уровне цен (ФОТр.тек.), руб/чел.-ч</t>
        </is>
      </c>
      <c r="C13" s="362" t="inlineStr">
        <is>
          <t>ФОТр.тек.</t>
        </is>
      </c>
      <c r="D13" s="362" t="inlineStr">
        <is>
          <t>(С1ср/tср*КТ*Т*Кув)*Кинф</t>
        </is>
      </c>
      <c r="E13" s="189">
        <f>((E7*E9/E8)*E11)*E12</f>
        <v/>
      </c>
      <c r="F13" s="18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33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2025-01-24T12:09:39Z</dcterms:modified>
  <cp:lastModifiedBy>REDMIBOOK</cp:lastModifiedBy>
  <cp:lastPrinted>2023-11-29T08:55:19Z</cp:lastPrinted>
</cp:coreProperties>
</file>