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4160" windowHeight="8760" tabRatio="924" firstSheet="3" activeTab="3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й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йцйу3йк">#REF!</definedName>
    <definedName name="йцйц">NA()</definedName>
    <definedName name="Ицпп">#REF!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йки">#REF!</definedName>
    <definedName name="Наименование_строительства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ыыыыыыыыыыыыыыыы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Toc132270798" localSheetId="0">'Прил.1 Сравнит табл'!$B$4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0">{#N/A,#N/A,FALSE,"Aging Summary";#N/A,#N/A,FALSE,"Ratio Analysis";#N/A,#N/A,FALSE,"Test 120 Day Accts";#N/A,#N/A,FALSE,"Tickmarks"}</definedName>
    <definedName name="корр" localSheetId="0">{#N/A,#N/A,FALSE,"Шаблон_Спец1"}</definedName>
    <definedName name="мил" localSheetId="0">{0,"овz";1,"z";2,"аz";5,"овz"}</definedName>
    <definedName name="нр" localSheetId="0">граж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С" localSheetId="0">{#N/A,#N/A,FALSE,"Шаблон_Спец1"}</definedName>
    <definedName name="тыс" localSheetId="0">{0,"тысячz";1,"тысячаz";2,"тысячиz";5,"тысячz"}</definedName>
    <definedName name="ЭКСПО" localSheetId="0">граж</definedName>
    <definedName name="ЭКСПОФОРУМ" localSheetId="0">граж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Hlk133322969" localSheetId="1">'Прил.2 Расч стоим'!$B$4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1">{#N/A,#N/A,FALSE,"Aging Summary";#N/A,#N/A,FALSE,"Ratio Analysis";#N/A,#N/A,FALSE,"Test 120 Day Accts";#N/A,#N/A,FALSE,"Tickmarks"}</definedName>
    <definedName name="корр" localSheetId="1">{#N/A,#N/A,FALSE,"Шаблон_Спец1"}</definedName>
    <definedName name="мил" localSheetId="1">{0,"овz";1,"z";2,"аz";5,"овz"}</definedName>
    <definedName name="нр" localSheetId="1">граж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С" localSheetId="1">{#N/A,#N/A,FALSE,"Шаблон_Спец1"}</definedName>
    <definedName name="тыс" localSheetId="1">{0,"тысячz";1,"тысячаz";2,"тысячиz";5,"тысячz"}</definedName>
    <definedName name="ЭКСПО" localSheetId="1">граж</definedName>
    <definedName name="ЭКСПОФОРУМ" localSheetId="1">граж</definedName>
    <definedName name="_xlnm.Print_Titles" localSheetId="2">'Прил.3'!$9:$11</definedName>
    <definedName name="_xlnm.Print_Area" localSheetId="2">'Прил.3'!$A$1:$H$40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й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йки" localSheetId="4">#REF!</definedName>
    <definedName name="Наименование_строительства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ОБ'!$A$1:$J$59</definedName>
    <definedName name="___wrn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___wrn22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__wrn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__wrn22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_wrn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_wrn22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пок'!n_3=1,'Прил.7 Расчет пок'!n_2,'Прил.7 Расчет пок'!n_3&amp;'Прил.7 Расчет пок'!n_1)</definedName>
    <definedName name="n1x" localSheetId="6">IF('Прил.7 Расчет пок'!n_3=1,'Прил.7 Расчет пок'!n_2,'Прил.7 Расчет пок'!n_3&amp;'Прил.7 Расчет пок'!n_5)</definedName>
    <definedName name="wrn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6">{#N/A,#N/A,FALSE,"Aging Summary";#N/A,#N/A,FALSE,"Ratio Analysis";#N/A,#N/A,FALSE,"Test 120 Day Accts";#N/A,#N/A,FALSE,"Tickmarks"}</definedName>
    <definedName name="корр" localSheetId="6">{#N/A,#N/A,FALSE,"Шаблон_Спец1"}</definedName>
    <definedName name="мил" localSheetId="6">{0,"овz";1,"z";2,"аz";5,"овz"}</definedName>
    <definedName name="нр" localSheetId="6">#REF!</definedName>
    <definedName name="Нсапк" localSheetId="6">#REF!</definedName>
    <definedName name="Нсстр" localSheetId="6">#REF!</definedName>
    <definedName name="Разработка_проекта__Строительство_подземного_пешеходного_перехода_у_ст._метро__Гражданский_проспект" localSheetId="6">#REF!</definedName>
    <definedName name="С" localSheetId="6">{#N/A,#N/A,FALSE,"Шаблон_Спец1"}</definedName>
    <definedName name="тыс" localSheetId="6">{0,"тысячz";1,"тысячаz";2,"тысячиz";5,"тысячz"}</definedName>
    <definedName name="ЭКСПО" localSheetId="6">#REF!</definedName>
    <definedName name="ЭКСПОФОРУМ" localSheetId="6">#REF!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IF(Прил.10!n_3=1,Прил.10!n_2,Прил.10!n_3&amp;Прил.10!n_1)</definedName>
    <definedName name="n1x" localSheetId="7">IF(Прил.10!n_3=1,Прил.10!n_2,Прил.10!n_3&amp;Прил.10!n_5)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999999" fullCalcOnLoad="1"/>
</workbook>
</file>

<file path=xl/styles.xml><?xml version="1.0" encoding="utf-8"?>
<styleSheet xmlns="http://schemas.openxmlformats.org/spreadsheetml/2006/main">
  <numFmts count="8">
    <numFmt numFmtId="164" formatCode="_-* #,##0\ _₽_-;\-* #,##0\ _₽_-;_-* &quot;-&quot;??\ _₽_-;_-@_-"/>
    <numFmt numFmtId="165" formatCode="_-* #,##0.00_-;\-* #,##0.00_-;_-* &quot;-&quot;??_-;_-@_-"/>
    <numFmt numFmtId="166" formatCode="#,##0.0"/>
    <numFmt numFmtId="167" formatCode="#,##0.000"/>
    <numFmt numFmtId="168" formatCode="0.0000"/>
    <numFmt numFmtId="169" formatCode="#,##0.0000"/>
    <numFmt numFmtId="170" formatCode="#,##0.00\ _₽"/>
    <numFmt numFmtId="171" formatCode="0.0"/>
  </numFmts>
  <fonts count="33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Times New Roman"/>
      <color rgb="FF000000"/>
      <sz val="10"/>
    </font>
    <font>
      <name val="Arial"/>
      <b val="1"/>
      <color rgb="FF000000"/>
      <sz val="12"/>
    </font>
    <font>
      <name val="Arial Cyr"/>
      <b val="1"/>
      <i val="1"/>
      <color rgb="FF000000"/>
      <sz val="10"/>
    </font>
    <font>
      <name val="Arial Cyr"/>
      <b val="1"/>
      <color rgb="FF000000"/>
      <sz val="10"/>
    </font>
    <font>
      <name val="Times New Roman"/>
      <b val="1"/>
      <color rgb="FF000000"/>
      <sz val="14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color rgb="FF000000"/>
      <sz val="10"/>
      <u val="single"/>
    </font>
    <font>
      <name val="Arial"/>
      <i val="1"/>
      <color rgb="FF00B050"/>
      <sz val="10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165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justify" vertical="center" wrapText="1"/>
    </xf>
    <xf numFmtId="49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vertical="center"/>
    </xf>
    <xf numFmtId="0" fontId="15" fillId="0" borderId="0" pivotButton="0" quotePrefix="0" xfId="0"/>
    <xf numFmtId="0" fontId="17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17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0" fontId="17" fillId="0" borderId="1" applyAlignment="1" pivotButton="0" quotePrefix="0" xfId="0">
      <alignment horizontal="center" vertical="center" wrapText="1"/>
    </xf>
    <xf numFmtId="4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0" fontId="18" fillId="0" borderId="0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166" fontId="17" fillId="0" borderId="1" applyAlignment="1" pivotButton="0" quotePrefix="0" xfId="0">
      <alignment horizontal="center" vertical="center"/>
    </xf>
    <xf numFmtId="167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vertical="center" wrapText="1"/>
    </xf>
    <xf numFmtId="168" fontId="17" fillId="4" borderId="1" applyAlignment="1" pivotButton="0" quotePrefix="0" xfId="0">
      <alignment horizontal="center" vertical="center"/>
    </xf>
    <xf numFmtId="0" fontId="17" fillId="0" borderId="1" applyAlignment="1" pivotButton="0" quotePrefix="0" xfId="0">
      <alignment wrapText="1"/>
    </xf>
    <xf numFmtId="0" fontId="19" fillId="0" borderId="1" applyAlignment="1" pivotButton="0" quotePrefix="0" xfId="0">
      <alignment vertical="center" wrapText="1"/>
    </xf>
    <xf numFmtId="4" fontId="19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horizontal="center" vertical="center" wrapText="1"/>
    </xf>
    <xf numFmtId="10" fontId="17" fillId="0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vertical="center" wrapText="1"/>
    </xf>
    <xf numFmtId="165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4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49" fontId="1" fillId="0" borderId="1" applyAlignment="1" pivotButton="0" quotePrefix="0" xfId="0">
      <alignment horizontal="center" vertical="center" wrapText="1"/>
    </xf>
    <xf numFmtId="169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4" fillId="0" borderId="0" pivotButton="0" quotePrefix="0" xfId="0"/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4" fontId="1" fillId="0" borderId="2" applyAlignment="1" pivotButton="0" quotePrefix="0" xfId="0">
      <alignment horizontal="right" vertical="center" wrapText="1"/>
    </xf>
    <xf numFmtId="168" fontId="1" fillId="0" borderId="1" applyAlignment="1" pivotButton="0" quotePrefix="0" xfId="0">
      <alignment horizontal="center" vertical="center" wrapText="1"/>
    </xf>
    <xf numFmtId="10" fontId="20" fillId="0" borderId="1" applyAlignment="1" pivotButton="0" quotePrefix="0" xfId="0">
      <alignment horizontal="center" vertical="top" wrapText="1"/>
    </xf>
    <xf numFmtId="0" fontId="21" fillId="0" borderId="0" applyAlignment="1" pivotButton="0" quotePrefix="0" xfId="0">
      <alignment horizontal="center" vertical="center"/>
    </xf>
    <xf numFmtId="2" fontId="2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 wrapText="1"/>
    </xf>
    <xf numFmtId="2" fontId="4" fillId="0" borderId="0" applyAlignment="1" pivotButton="0" quotePrefix="0" xfId="0">
      <alignment vertical="top" wrapText="1"/>
    </xf>
    <xf numFmtId="49" fontId="1" fillId="0" borderId="0" applyAlignment="1" pivotButton="0" quotePrefix="0" xfId="0">
      <alignment horizontal="right" vertical="top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vertical="top" wrapText="1"/>
    </xf>
    <xf numFmtId="49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right" vertical="top" wrapText="1"/>
    </xf>
    <xf numFmtId="2" fontId="1" fillId="0" borderId="0" applyAlignment="1" pivotButton="0" quotePrefix="0" xfId="0">
      <alignment horizontal="right" vertical="top" wrapText="1"/>
    </xf>
    <xf numFmtId="0" fontId="15" fillId="0" borderId="1" applyAlignment="1" pivotButton="0" quotePrefix="0" xfId="0">
      <alignment horizontal="center" vertical="center" wrapText="1"/>
    </xf>
    <xf numFmtId="0" fontId="22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right" vertical="top" wrapText="1"/>
    </xf>
    <xf numFmtId="49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right" vertical="top" wrapText="1"/>
    </xf>
    <xf numFmtId="10" fontId="0" fillId="0" borderId="0" pivotButton="0" quotePrefix="0" xfId="0"/>
    <xf numFmtId="0" fontId="12" fillId="0" borderId="4" applyAlignment="1" pivotButton="0" quotePrefix="0" xfId="0">
      <alignment horizontal="left" vertical="center" wrapText="1"/>
    </xf>
    <xf numFmtId="0" fontId="12" fillId="0" borderId="4" applyAlignment="1" pivotButton="0" quotePrefix="0" xfId="0">
      <alignment horizontal="right" vertical="center" wrapText="1"/>
    </xf>
    <xf numFmtId="0" fontId="11" fillId="0" borderId="0" applyAlignment="1" pivotButton="0" quotePrefix="0" xfId="0">
      <alignment vertical="top"/>
    </xf>
    <xf numFmtId="2" fontId="0" fillId="0" borderId="0" pivotButton="0" quotePrefix="0" xfId="0"/>
    <xf numFmtId="0" fontId="17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right" vertical="top" wrapText="1"/>
    </xf>
    <xf numFmtId="4" fontId="1" fillId="0" borderId="0" applyAlignment="1" pivotButton="0" quotePrefix="0" xfId="0">
      <alignment horizontal="right" vertical="top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2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49" fontId="1" fillId="0" borderId="5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8" fontId="23" fillId="0" borderId="1" applyAlignment="1" pivotButton="0" quotePrefix="0" xfId="0">
      <alignment horizontal="center" vertical="center" wrapText="1"/>
    </xf>
    <xf numFmtId="2" fontId="23" fillId="0" borderId="1" applyAlignment="1" pivotButton="0" quotePrefix="0" xfId="0">
      <alignment horizontal="right" vertical="center" wrapText="1"/>
    </xf>
    <xf numFmtId="170" fontId="2" fillId="0" borderId="1" applyAlignment="1" pivotButton="0" quotePrefix="0" xfId="0">
      <alignment horizontal="right" vertical="center" wrapText="1"/>
    </xf>
    <xf numFmtId="170" fontId="23" fillId="0" borderId="1" applyAlignment="1" pivotButton="0" quotePrefix="0" xfId="0">
      <alignment vertical="center" wrapText="1"/>
    </xf>
    <xf numFmtId="49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20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 vertical="top" wrapText="1"/>
    </xf>
    <xf numFmtId="171" fontId="13" fillId="0" borderId="0" pivotButton="0" quotePrefix="0" xfId="0"/>
    <xf numFmtId="167" fontId="1" fillId="0" borderId="1" applyAlignment="1" pivotButton="0" quotePrefix="0" xfId="0">
      <alignment horizontal="center" vertical="center" wrapText="1"/>
    </xf>
    <xf numFmtId="167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10" fontId="1" fillId="0" borderId="1" applyAlignment="1" pivotButton="0" quotePrefix="0" xfId="0">
      <alignment horizontal="right" vertical="center"/>
    </xf>
    <xf numFmtId="2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20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center" vertical="center" wrapText="1"/>
    </xf>
    <xf numFmtId="0" fontId="17" fillId="0" borderId="5" applyAlignment="1" pivotButton="0" quotePrefix="0" xfId="0">
      <alignment horizontal="center" vertical="center" wrapText="1"/>
    </xf>
    <xf numFmtId="0" fontId="17" fillId="4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2" fontId="17" fillId="4" borderId="1" applyAlignment="1" pivotButton="0" quotePrefix="0" xfId="0">
      <alignment vertical="center" wrapText="1"/>
    </xf>
    <xf numFmtId="2" fontId="20" fillId="0" borderId="1" applyAlignment="1" pivotButton="0" quotePrefix="0" xfId="0">
      <alignment horizontal="center" vertical="center" wrapText="1"/>
    </xf>
    <xf numFmtId="0" fontId="19" fillId="0" borderId="4" applyAlignment="1" pivotButton="0" quotePrefix="0" xfId="0">
      <alignment vertical="center" wrapText="1"/>
    </xf>
    <xf numFmtId="2" fontId="19" fillId="0" borderId="4" applyAlignment="1" pivotButton="0" quotePrefix="0" xfId="0">
      <alignment vertical="center" wrapText="1"/>
    </xf>
    <xf numFmtId="0" fontId="19" fillId="0" borderId="1" applyAlignment="1" pivotButton="0" quotePrefix="0" xfId="0">
      <alignment vertical="center" wrapText="1"/>
    </xf>
    <xf numFmtId="2" fontId="19" fillId="0" borderId="1" applyAlignment="1" pivotButton="0" quotePrefix="0" xfId="0">
      <alignment vertical="center" wrapText="1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4" fontId="1" fillId="0" borderId="0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1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right" vertical="center"/>
    </xf>
    <xf numFmtId="0" fontId="24" fillId="0" borderId="0" applyAlignment="1" pivotButton="0" quotePrefix="0" xfId="0">
      <alignment horizontal="center" vertical="center"/>
    </xf>
    <xf numFmtId="0" fontId="16" fillId="4" borderId="0" applyAlignment="1" pivotButton="0" quotePrefix="0" xfId="0">
      <alignment horizontal="center" vertical="center" wrapText="1"/>
    </xf>
    <xf numFmtId="0" fontId="19" fillId="0" borderId="4" applyAlignment="1" pivotButton="0" quotePrefix="0" xfId="0">
      <alignment horizontal="right" vertical="center" wrapText="1"/>
    </xf>
    <xf numFmtId="0" fontId="19" fillId="0" borderId="1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5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left" vertical="center" wrapText="1"/>
    </xf>
    <xf numFmtId="49" fontId="2" fillId="0" borderId="6" applyAlignment="1" pivotButton="0" quotePrefix="0" xfId="0">
      <alignment horizontal="left" vertical="center" wrapText="1"/>
    </xf>
    <xf numFmtId="49" fontId="2" fillId="0" borderId="7" applyAlignment="1" pivotButton="0" quotePrefix="0" xfId="0">
      <alignment horizontal="left" vertical="center" wrapText="1"/>
    </xf>
    <xf numFmtId="49" fontId="2" fillId="0" borderId="8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top" wrapText="1"/>
    </xf>
    <xf numFmtId="4" fontId="4" fillId="0" borderId="0" applyAlignment="1" pivotButton="0" quotePrefix="0" xfId="0">
      <alignment horizontal="left" vertical="center" wrapText="1"/>
    </xf>
    <xf numFmtId="49" fontId="2" fillId="0" borderId="2" applyAlignment="1" pivotButton="0" quotePrefix="0" xfId="0">
      <alignment horizontal="left" vertical="center" wrapText="1"/>
    </xf>
    <xf numFmtId="49" fontId="1" fillId="4" borderId="0" applyAlignment="1" pivotButton="0" quotePrefix="0" xfId="0">
      <alignment horizontal="left" vertical="top" wrapText="1"/>
    </xf>
    <xf numFmtId="49" fontId="1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6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4" pivotButton="0" quotePrefix="0" xfId="0"/>
    <xf numFmtId="49" fontId="2" fillId="0" borderId="4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F31"/>
  <sheetViews>
    <sheetView tabSelected="1" view="pageBreakPreview" topLeftCell="A17" zoomScale="70" zoomScaleNormal="70" workbookViewId="0">
      <selection activeCell="A26" sqref="A26:XFD30"/>
    </sheetView>
  </sheetViews>
  <sheetFormatPr baseColWidth="8" defaultRowHeight="15"/>
  <cols>
    <col width="36.85546875" customWidth="1" style="321" min="3" max="3"/>
    <col width="43.85546875" customWidth="1" style="321" min="4" max="4"/>
  </cols>
  <sheetData>
    <row r="3" ht="15.75" customHeight="1" s="321">
      <c r="B3" s="347" t="inlineStr">
        <is>
          <t>Приложение № 1</t>
        </is>
      </c>
    </row>
    <row r="4" ht="18.75" customHeight="1" s="321">
      <c r="B4" s="348" t="inlineStr">
        <is>
          <t>Сравнительная таблица отбора объекта-представителя</t>
        </is>
      </c>
    </row>
    <row r="5" ht="84" customHeight="1" s="321">
      <c r="B5" s="349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321">
      <c r="B6" s="165" t="n"/>
      <c r="C6" s="165" t="n"/>
      <c r="D6" s="165" t="n"/>
    </row>
    <row r="7" ht="42" customHeight="1" s="321">
      <c r="B7" s="346" t="inlineStr">
        <is>
          <t>Наименование разрабатываемого показателя УНЦ - Гирлянды изоляторов ВЛ напряжение 35 кВ</t>
        </is>
      </c>
    </row>
    <row r="8" ht="31.5" customHeight="1" s="321">
      <c r="B8" s="346" t="inlineStr">
        <is>
          <t>Сопоставимый уровень цен: 4 кв.2016г.</t>
        </is>
      </c>
    </row>
    <row r="9" ht="15.75" customHeight="1" s="321">
      <c r="B9" s="346" t="inlineStr">
        <is>
          <t>Единица измерения  — 1 км ВЛ</t>
        </is>
      </c>
    </row>
    <row r="10" ht="18.75" customHeight="1" s="321">
      <c r="B10" s="194" t="n"/>
    </row>
    <row r="11" ht="15.75" customHeight="1" s="321">
      <c r="B11" s="353" t="inlineStr">
        <is>
          <t>№ п/п</t>
        </is>
      </c>
      <c r="C11" s="353" t="inlineStr">
        <is>
          <t>Параметр</t>
        </is>
      </c>
      <c r="D11" s="353" t="inlineStr">
        <is>
          <t>Объект-представитель</t>
        </is>
      </c>
    </row>
    <row r="12" ht="41.25" customHeight="1" s="321">
      <c r="B12" s="353" t="n">
        <v>1</v>
      </c>
      <c r="C12" s="188" t="inlineStr">
        <is>
          <t>Наименование объекта-представителя</t>
        </is>
      </c>
      <c r="D12" s="308" t="inlineStr">
        <is>
          <t>ПС 500 кВ Преображенская</t>
        </is>
      </c>
    </row>
    <row r="13" ht="31.5" customHeight="1" s="321">
      <c r="B13" s="353" t="n">
        <v>2</v>
      </c>
      <c r="C13" s="188" t="inlineStr">
        <is>
          <t>Наименование субъекта Российской Федерации</t>
        </is>
      </c>
      <c r="D13" s="308" t="inlineStr">
        <is>
          <t>Оренбургская область</t>
        </is>
      </c>
    </row>
    <row r="14" ht="15.75" customHeight="1" s="321">
      <c r="B14" s="353" t="n">
        <v>3</v>
      </c>
      <c r="C14" s="188" t="inlineStr">
        <is>
          <t>Климатический район и подрайон</t>
        </is>
      </c>
      <c r="D14" s="308" t="inlineStr">
        <is>
          <t>IВ</t>
        </is>
      </c>
    </row>
    <row r="15" ht="15.75" customHeight="1" s="321">
      <c r="B15" s="353" t="n">
        <v>4</v>
      </c>
      <c r="C15" s="188" t="inlineStr">
        <is>
          <t>Мощность объекта</t>
        </is>
      </c>
      <c r="D15" s="308" t="n">
        <v>0.13</v>
      </c>
    </row>
    <row r="16" ht="161.25" customHeight="1" s="321">
      <c r="B16" s="353" t="n">
        <v>5</v>
      </c>
      <c r="C16" s="259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53" t="inlineStr">
        <is>
          <t>Гирлянды изоляторов</t>
        </is>
      </c>
    </row>
    <row r="17" ht="95.25" customHeight="1" s="321">
      <c r="B17" s="353" t="n">
        <v>6</v>
      </c>
      <c r="C17" s="259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316">
        <f>SUM(D18:D21)</f>
        <v/>
      </c>
    </row>
    <row r="18" ht="15.75" customHeight="1" s="321">
      <c r="B18" s="170" t="inlineStr">
        <is>
          <t>6.1</t>
        </is>
      </c>
      <c r="C18" s="188" t="inlineStr">
        <is>
          <t>строительно-монтажные работы</t>
        </is>
      </c>
      <c r="D18" s="308" t="n">
        <v>10.62</v>
      </c>
    </row>
    <row r="19" ht="15.75" customHeight="1" s="321">
      <c r="B19" s="170" t="inlineStr">
        <is>
          <t>6.2</t>
        </is>
      </c>
      <c r="C19" s="188" t="inlineStr">
        <is>
          <t>оборудование и инвентарь</t>
        </is>
      </c>
      <c r="D19" s="316" t="n">
        <v>0</v>
      </c>
    </row>
    <row r="20" ht="15.75" customHeight="1" s="321">
      <c r="B20" s="170" t="inlineStr">
        <is>
          <t>6.3</t>
        </is>
      </c>
      <c r="C20" s="188" t="inlineStr">
        <is>
          <t>пусконаладочные работы</t>
        </is>
      </c>
      <c r="D20" s="316" t="n">
        <v>0</v>
      </c>
    </row>
    <row r="21" ht="31.5" customHeight="1" s="321">
      <c r="B21" s="170" t="inlineStr">
        <is>
          <t>6.4</t>
        </is>
      </c>
      <c r="C21" s="188" t="inlineStr">
        <is>
          <t>прочие и лимитированные затраты</t>
        </is>
      </c>
      <c r="D21" s="316">
        <f>D18*3.9%+(D18+D18*3.9%)*3.2%</f>
        <v/>
      </c>
    </row>
    <row r="22" ht="15.75" customHeight="1" s="321">
      <c r="B22" s="353" t="n">
        <v>7</v>
      </c>
      <c r="C22" s="188" t="inlineStr">
        <is>
          <t>Сопоставимый уровень цен</t>
        </is>
      </c>
      <c r="D22" s="308" t="inlineStr">
        <is>
          <t>4 кв. 2016 г.</t>
        </is>
      </c>
    </row>
    <row r="23" ht="110.25" customHeight="1" s="321">
      <c r="B23" s="353" t="n">
        <v>8</v>
      </c>
      <c r="C23" s="259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316">
        <f>D17/5.17*7.62</f>
        <v/>
      </c>
    </row>
    <row r="24" ht="61.5" customHeight="1" s="321">
      <c r="B24" s="353" t="n">
        <v>9</v>
      </c>
      <c r="C24" s="259" t="inlineStr">
        <is>
          <t>Приведенная сметная стоимость на единицу мощности, тыс. руб. (строка 8/строку 4)</t>
        </is>
      </c>
      <c r="D24" s="316">
        <f>D23/D15</f>
        <v/>
      </c>
    </row>
    <row r="25" ht="37.5" customHeight="1" s="321">
      <c r="B25" s="172" t="n"/>
      <c r="C25" s="173" t="n"/>
      <c r="D25" s="173" t="n"/>
    </row>
    <row r="26">
      <c r="B26" s="334" t="inlineStr">
        <is>
          <t>Составил ______________________        А.Р. Маркова</t>
        </is>
      </c>
      <c r="C26" s="337" t="n"/>
    </row>
    <row r="27">
      <c r="B27" s="336" t="inlineStr">
        <is>
          <t xml:space="preserve">                         (подпись, инициалы, фамилия)</t>
        </is>
      </c>
      <c r="C27" s="337" t="n"/>
    </row>
    <row r="28">
      <c r="B28" s="334" t="n"/>
      <c r="C28" s="337" t="n"/>
    </row>
    <row r="29">
      <c r="B29" s="334" t="inlineStr">
        <is>
          <t>Проверил ______________________        А.В. Костянецкая</t>
        </is>
      </c>
      <c r="C29" s="337" t="n"/>
    </row>
    <row r="30">
      <c r="B30" s="336" t="inlineStr">
        <is>
          <t xml:space="preserve">                        (подпись, инициалы, фамилия)</t>
        </is>
      </c>
      <c r="C30" s="337" t="n"/>
    </row>
    <row r="31" ht="15.75" customHeight="1" s="321">
      <c r="B31" s="173" t="n"/>
      <c r="C31" s="173" t="n"/>
      <c r="D31" s="173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4"/>
  <colBreaks count="1" manualBreakCount="1">
    <brk id="0" min="0" max="16383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J22"/>
  <sheetViews>
    <sheetView view="pageBreakPreview" zoomScale="70" zoomScaleNormal="70" workbookViewId="0">
      <selection activeCell="C17" sqref="C17"/>
    </sheetView>
  </sheetViews>
  <sheetFormatPr baseColWidth="8" defaultRowHeight="15"/>
  <cols>
    <col width="5.5703125" customWidth="1" style="321" min="1" max="1"/>
    <col width="27" customWidth="1" style="321" min="3" max="3"/>
    <col width="13.85546875" customWidth="1" style="321" min="4" max="4"/>
    <col width="17.42578125" customWidth="1" style="321" min="5" max="5"/>
    <col width="12.7109375" customWidth="1" style="321" min="6" max="6"/>
    <col width="11.140625" customWidth="1" style="321" min="7" max="7"/>
    <col width="10.140625" customWidth="1" style="321" min="8" max="8"/>
    <col width="10.42578125" customWidth="1" style="321" min="9" max="9"/>
    <col width="13" customWidth="1" style="321" min="10" max="10"/>
  </cols>
  <sheetData>
    <row r="3" ht="15.75" customHeight="1" s="321">
      <c r="B3" s="347" t="inlineStr">
        <is>
          <t>Приложение № 2</t>
        </is>
      </c>
    </row>
    <row r="4" ht="15.75" customHeight="1" s="321">
      <c r="B4" s="352" t="inlineStr">
        <is>
          <t>Расчет стоимости основных видов работ для выбора объекта-представителя</t>
        </is>
      </c>
    </row>
    <row r="5" ht="15.75" customHeight="1" s="321">
      <c r="B5" s="174" t="n"/>
      <c r="C5" s="174" t="n"/>
      <c r="D5" s="174" t="n"/>
      <c r="E5" s="174" t="n"/>
      <c r="F5" s="174" t="n"/>
      <c r="G5" s="174" t="n"/>
      <c r="H5" s="174" t="n"/>
      <c r="I5" s="174" t="n"/>
      <c r="J5" s="174" t="n"/>
    </row>
    <row r="6" ht="15.75" customHeight="1" s="321">
      <c r="B6" s="346" t="inlineStr">
        <is>
          <t>Наименование разрабатываемого показателя УНЦ - Гирлянды изоляторов ВЛ напряжение 35 кВ</t>
        </is>
      </c>
    </row>
    <row r="7" ht="15.75" customHeight="1" s="321">
      <c r="B7" s="346" t="inlineStr">
        <is>
          <t>Единица измерения  — 1 км ВЛ</t>
        </is>
      </c>
    </row>
    <row r="8" ht="18.75" customHeight="1" s="321">
      <c r="B8" s="194" t="n"/>
    </row>
    <row r="9" ht="15.75" customHeight="1" s="321">
      <c r="B9" s="353" t="inlineStr">
        <is>
          <t>№ п/п</t>
        </is>
      </c>
      <c r="C9" s="353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53" t="inlineStr">
        <is>
          <t>Объект-представитель 1</t>
        </is>
      </c>
      <c r="E9" s="429" t="n"/>
      <c r="F9" s="429" t="n"/>
      <c r="G9" s="429" t="n"/>
      <c r="H9" s="429" t="n"/>
      <c r="I9" s="429" t="n"/>
      <c r="J9" s="430" t="n"/>
    </row>
    <row r="10" ht="15.75" customHeight="1" s="321">
      <c r="B10" s="431" t="n"/>
      <c r="C10" s="431" t="n"/>
      <c r="D10" s="353" t="inlineStr">
        <is>
          <t>Номер сметы</t>
        </is>
      </c>
      <c r="E10" s="353" t="inlineStr">
        <is>
          <t>Наименование сметы</t>
        </is>
      </c>
      <c r="F10" s="353" t="inlineStr">
        <is>
          <t>Сметная стоимость в уровне цен 4 кв. 2016г., тыс. руб.</t>
        </is>
      </c>
      <c r="G10" s="429" t="n"/>
      <c r="H10" s="429" t="n"/>
      <c r="I10" s="429" t="n"/>
      <c r="J10" s="430" t="n"/>
    </row>
    <row r="11" ht="31.5" customHeight="1" s="321">
      <c r="B11" s="432" t="n"/>
      <c r="C11" s="432" t="n"/>
      <c r="D11" s="432" t="n"/>
      <c r="E11" s="432" t="n"/>
      <c r="F11" s="354" t="inlineStr">
        <is>
          <t>Строительные работы</t>
        </is>
      </c>
      <c r="G11" s="354" t="inlineStr">
        <is>
          <t>Монтажные работы</t>
        </is>
      </c>
      <c r="H11" s="354" t="inlineStr">
        <is>
          <t>Оборудование</t>
        </is>
      </c>
      <c r="I11" s="354" t="inlineStr">
        <is>
          <t>Прочее</t>
        </is>
      </c>
      <c r="J11" s="354" t="inlineStr">
        <is>
          <t>Всего</t>
        </is>
      </c>
    </row>
    <row r="12" ht="88.90000000000001" customHeight="1" s="321">
      <c r="B12" s="311" t="n">
        <v>1</v>
      </c>
      <c r="C12" s="311" t="inlineStr">
        <is>
          <t>Гирлянды изоляторов</t>
        </is>
      </c>
      <c r="D12" s="311" t="inlineStr">
        <is>
          <t>02-01-02-5</t>
        </is>
      </c>
      <c r="E12" s="311" t="inlineStr">
        <is>
          <t xml:space="preserve">Установка автотрансформаторов.. Электротехнические решения </t>
        </is>
      </c>
      <c r="F12" s="311" t="n"/>
      <c r="G12" s="315">
        <f>2053.43*5.17/1000</f>
        <v/>
      </c>
      <c r="H12" s="315" t="n"/>
      <c r="I12" s="315" t="n"/>
      <c r="J12" s="315">
        <f>SUM(F12:I12)</f>
        <v/>
      </c>
    </row>
    <row r="13" ht="15.75" customHeight="1" s="321">
      <c r="B13" s="350" t="inlineStr">
        <is>
          <t>Всего по объекту:</t>
        </is>
      </c>
      <c r="C13" s="433" t="n"/>
      <c r="D13" s="433" t="n"/>
      <c r="E13" s="434" t="n"/>
      <c r="F13" s="317" t="n"/>
      <c r="G13" s="318">
        <f>G12</f>
        <v/>
      </c>
      <c r="H13" s="318" t="n"/>
      <c r="I13" s="318" t="n"/>
      <c r="J13" s="318" t="n"/>
    </row>
    <row r="14" ht="28.5" customHeight="1" s="321">
      <c r="B14" s="351" t="inlineStr">
        <is>
          <t>Всего по объекту в сопоставимом уровне цен 4 кв. 2016г:</t>
        </is>
      </c>
      <c r="C14" s="429" t="n"/>
      <c r="D14" s="429" t="n"/>
      <c r="E14" s="430" t="n"/>
      <c r="F14" s="319" t="n"/>
      <c r="G14" s="320">
        <f>G13</f>
        <v/>
      </c>
      <c r="H14" s="320" t="n"/>
      <c r="I14" s="320" t="n"/>
      <c r="J14" s="320">
        <f>SUM(F14:I14)</f>
        <v/>
      </c>
    </row>
    <row r="15" ht="18.75" customHeight="1" s="321">
      <c r="B15" s="194" t="n"/>
    </row>
    <row r="18">
      <c r="C18" s="334" t="inlineStr">
        <is>
          <t>Составил ______________________   А.Р. Маркова</t>
        </is>
      </c>
      <c r="D18" s="337" t="n"/>
    </row>
    <row r="19">
      <c r="C19" s="336" t="inlineStr">
        <is>
          <t xml:space="preserve">                         (подпись, инициалы, фамилия)</t>
        </is>
      </c>
      <c r="D19" s="337" t="n"/>
    </row>
    <row r="20">
      <c r="C20" s="334" t="n"/>
      <c r="D20" s="337" t="n"/>
    </row>
    <row r="21">
      <c r="C21" s="334" t="inlineStr">
        <is>
          <t>Проверил ______________________        А.В. Костянецкая</t>
        </is>
      </c>
      <c r="D21" s="337" t="n"/>
    </row>
    <row r="22">
      <c r="C22" s="336" t="inlineStr">
        <is>
          <t xml:space="preserve">                        (подпись, инициалы, фамилия)</t>
        </is>
      </c>
      <c r="D22" s="337" t="n"/>
    </row>
  </sheetData>
  <mergeCells count="12">
    <mergeCell ref="B7:J7"/>
    <mergeCell ref="B3:J3"/>
    <mergeCell ref="D10:D11"/>
    <mergeCell ref="D9:J9"/>
    <mergeCell ref="B13:E13"/>
    <mergeCell ref="F10:J10"/>
    <mergeCell ref="B6:J6"/>
    <mergeCell ref="B9:B11"/>
    <mergeCell ref="B4:J4"/>
    <mergeCell ref="E10:E11"/>
    <mergeCell ref="C9:C11"/>
    <mergeCell ref="B14:E14"/>
  </mergeCells>
  <pageMargins left="0.7" right="0.7" top="0.75" bottom="0.75" header="0.3" footer="0.3"/>
  <pageSetup orientation="portrait" paperSize="9" scale="68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40"/>
  <sheetViews>
    <sheetView view="pageBreakPreview" topLeftCell="A16" zoomScale="84" workbookViewId="0">
      <selection activeCell="C37" sqref="C37"/>
    </sheetView>
  </sheetViews>
  <sheetFormatPr baseColWidth="8" defaultRowHeight="15"/>
  <cols>
    <col width="8.5703125" customWidth="1" style="321" min="1" max="1"/>
    <col width="12.85546875" customWidth="1" style="321" min="2" max="2"/>
    <col width="16.85546875" customWidth="1" style="321" min="3" max="3"/>
    <col width="49.85546875" customWidth="1" style="321" min="4" max="4"/>
    <col width="12.28515625" customWidth="1" style="321" min="5" max="5"/>
    <col width="19.85546875" customWidth="1" style="321" min="6" max="6"/>
    <col width="17.85546875" customWidth="1" style="321" min="7" max="7"/>
    <col width="19.42578125" customWidth="1" style="258" min="8" max="8"/>
    <col width="10.140625" customWidth="1" style="321" min="9" max="9"/>
  </cols>
  <sheetData>
    <row r="2" ht="15.75" customHeight="1" s="321">
      <c r="A2" s="347" t="inlineStr">
        <is>
          <t xml:space="preserve">Приложение № 3 </t>
        </is>
      </c>
      <c r="I2" s="172" t="n"/>
    </row>
    <row r="3" ht="18.75" customHeight="1" s="321">
      <c r="A3" s="348" t="inlineStr">
        <is>
          <t>Объектная ресурсная ведомость</t>
        </is>
      </c>
    </row>
    <row r="4" ht="25.5" customHeight="1" s="321">
      <c r="B4" s="257" t="n"/>
      <c r="C4" s="363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 ht="15.75" customHeight="1" s="321">
      <c r="C5" s="236" t="n"/>
      <c r="D5" s="236" t="n"/>
      <c r="E5" s="236" t="n"/>
      <c r="F5" s="236" t="n"/>
      <c r="G5" s="236" t="n"/>
      <c r="H5" s="237" t="n"/>
    </row>
    <row r="6" ht="15" customHeight="1" s="321">
      <c r="A6" s="361" t="inlineStr">
        <is>
          <t>Наименование разрабатываемого показателя УНЦ - Гирлянды изоляторов ВЛ напряжение 35 кВ</t>
        </is>
      </c>
      <c r="G6" s="238" t="n"/>
      <c r="H6" s="239" t="n"/>
    </row>
    <row r="7" ht="14.25" customHeight="1" s="321">
      <c r="G7" s="238" t="n"/>
      <c r="H7" s="239" t="n"/>
    </row>
    <row r="8" ht="15.75" customHeight="1" s="321">
      <c r="C8" s="240" t="n"/>
      <c r="D8" s="262" t="n"/>
      <c r="E8" s="263" t="n"/>
      <c r="F8" s="261" t="n"/>
      <c r="G8" s="264" t="n"/>
      <c r="H8" s="245" t="n"/>
    </row>
    <row r="9" ht="38.25" customHeight="1" s="321">
      <c r="A9" s="353" t="inlineStr">
        <is>
          <t>п/п</t>
        </is>
      </c>
      <c r="B9" s="353" t="inlineStr">
        <is>
          <t>№ЛСР</t>
        </is>
      </c>
      <c r="C9" s="353" t="inlineStr">
        <is>
          <t>Код ресурса</t>
        </is>
      </c>
      <c r="D9" s="353" t="inlineStr">
        <is>
          <t>Наименование ресурса</t>
        </is>
      </c>
      <c r="E9" s="353" t="inlineStr">
        <is>
          <t>Ед. изм.</t>
        </is>
      </c>
      <c r="F9" s="353" t="inlineStr">
        <is>
          <t>Кол-во единиц по данным объекта-представителя</t>
        </is>
      </c>
      <c r="G9" s="353" t="inlineStr">
        <is>
          <t>Сметная стоимость в ценах на 01.01.2000 (руб.)</t>
        </is>
      </c>
      <c r="H9" s="430" t="n"/>
    </row>
    <row r="10" ht="40.5" customHeight="1" s="321">
      <c r="A10" s="432" t="n"/>
      <c r="B10" s="432" t="n"/>
      <c r="C10" s="432" t="n"/>
      <c r="D10" s="432" t="n"/>
      <c r="E10" s="432" t="n"/>
      <c r="F10" s="432" t="n"/>
      <c r="G10" s="353" t="inlineStr">
        <is>
          <t>на ед.изм.</t>
        </is>
      </c>
      <c r="H10" s="353" t="inlineStr">
        <is>
          <t>общая</t>
        </is>
      </c>
    </row>
    <row r="11" ht="15.75" customHeight="1" s="321">
      <c r="A11" s="353" t="n">
        <v>1</v>
      </c>
      <c r="B11" s="246" t="n"/>
      <c r="C11" s="353" t="n">
        <v>2</v>
      </c>
      <c r="D11" s="353" t="inlineStr">
        <is>
          <t>З</t>
        </is>
      </c>
      <c r="E11" s="353" t="n">
        <v>4</v>
      </c>
      <c r="F11" s="353" t="n">
        <v>5</v>
      </c>
      <c r="G11" s="246" t="n">
        <v>6</v>
      </c>
      <c r="H11" s="246" t="n">
        <v>7</v>
      </c>
    </row>
    <row r="12" ht="15" customHeight="1" s="321">
      <c r="A12" s="359" t="inlineStr">
        <is>
          <t>Затраты труда рабочих</t>
        </is>
      </c>
      <c r="B12" s="429" t="n"/>
      <c r="C12" s="429" t="n"/>
      <c r="D12" s="430" t="n"/>
      <c r="E12" s="247" t="n"/>
      <c r="F12" s="286">
        <f>SUM(F13:F13)</f>
        <v/>
      </c>
      <c r="G12" s="247" t="n"/>
      <c r="H12" s="287">
        <f>SUM(H13:H13)</f>
        <v/>
      </c>
    </row>
    <row r="13">
      <c r="A13" s="307" t="inlineStr">
        <is>
          <t>1</t>
        </is>
      </c>
      <c r="B13" s="307" t="n"/>
      <c r="C13" s="297" t="inlineStr">
        <is>
          <t>1-4-0</t>
        </is>
      </c>
      <c r="D13" s="248" t="inlineStr">
        <is>
          <t>Затраты труда рабочих (ср 4)</t>
        </is>
      </c>
      <c r="E13" s="383" t="inlineStr">
        <is>
          <t>чел.-ч</t>
        </is>
      </c>
      <c r="F13" s="297" t="n">
        <v>3.1</v>
      </c>
      <c r="G13" s="253" t="n">
        <v>9.619999999999999</v>
      </c>
      <c r="H13" s="295">
        <f>ROUND(F13*G13,2)</f>
        <v/>
      </c>
      <c r="J13" s="299">
        <f>(4*F13)/SUM(F13:F13)</f>
        <v/>
      </c>
      <c r="K13" s="250" t="n"/>
      <c r="L13" s="250" t="n"/>
    </row>
    <row r="14">
      <c r="A14" s="435" t="inlineStr">
        <is>
          <t>Затраты труда машинистов</t>
        </is>
      </c>
      <c r="B14" s="433" t="n"/>
      <c r="C14" s="433" t="n"/>
      <c r="D14" s="434" t="n"/>
      <c r="E14" s="383" t="n"/>
      <c r="F14" s="297" t="n"/>
      <c r="G14" s="253" t="n"/>
      <c r="H14" s="288">
        <f>H15</f>
        <v/>
      </c>
      <c r="L14" s="250" t="n"/>
    </row>
    <row r="15">
      <c r="A15" s="307" t="inlineStr">
        <is>
          <t>2</t>
        </is>
      </c>
      <c r="B15" s="281" t="n"/>
      <c r="C15" s="307" t="n">
        <v>2</v>
      </c>
      <c r="D15" s="367" t="inlineStr">
        <is>
          <t>Затраты труда машинистов</t>
        </is>
      </c>
      <c r="E15" s="368" t="inlineStr">
        <is>
          <t>чел.час</t>
        </is>
      </c>
      <c r="F15" s="368" t="n">
        <v>0.85</v>
      </c>
      <c r="G15" s="382" t="n"/>
      <c r="H15" s="382" t="n">
        <v>100</v>
      </c>
    </row>
    <row r="16" ht="15" customHeight="1" s="321">
      <c r="A16" s="359" t="inlineStr">
        <is>
          <t>Машины и механизмы</t>
        </is>
      </c>
      <c r="B16" s="429" t="n"/>
      <c r="C16" s="429" t="n"/>
      <c r="D16" s="430" t="n"/>
      <c r="E16" s="247" t="n"/>
      <c r="F16" s="247" t="n"/>
      <c r="G16" s="247" t="n"/>
      <c r="H16" s="289">
        <f>SUM(H17:H20)</f>
        <v/>
      </c>
      <c r="K16" s="250" t="n"/>
    </row>
    <row r="17" ht="25.5" customHeight="1" s="321">
      <c r="A17" s="368">
        <f>A15+1</f>
        <v/>
      </c>
      <c r="B17" s="307" t="n"/>
      <c r="C17" s="307" t="inlineStr">
        <is>
          <t>91.06.03-058</t>
        </is>
      </c>
      <c r="D17" s="367" t="inlineStr">
        <is>
          <t>Лебедки электрические тяговым усилием 156,96 кН (16 т)</t>
        </is>
      </c>
      <c r="E17" s="368" t="inlineStr">
        <is>
          <t>маш.час</t>
        </is>
      </c>
      <c r="F17" s="368" t="n">
        <v>0.5</v>
      </c>
      <c r="G17" s="370" t="n">
        <v>131.44</v>
      </c>
      <c r="H17" s="295">
        <f>ROUND(F17*G17,2)</f>
        <v/>
      </c>
      <c r="I17" s="254" t="n"/>
    </row>
    <row r="18" ht="25.5" customHeight="1" s="321">
      <c r="A18" s="368">
        <f>A17+1</f>
        <v/>
      </c>
      <c r="B18" s="307" t="n"/>
      <c r="C18" s="307" t="inlineStr">
        <is>
          <t>91.05.05-015</t>
        </is>
      </c>
      <c r="D18" s="367" t="inlineStr">
        <is>
          <t>Краны на автомобильном ходу, грузоподъемность 16 т</t>
        </is>
      </c>
      <c r="E18" s="368" t="inlineStr">
        <is>
          <t>маш.час</t>
        </is>
      </c>
      <c r="F18" s="368" t="n">
        <v>0.15</v>
      </c>
      <c r="G18" s="370" t="n">
        <v>115.4</v>
      </c>
      <c r="H18" s="295">
        <f>ROUND(F18*G18,2)</f>
        <v/>
      </c>
      <c r="I18" s="254" t="n"/>
    </row>
    <row r="19">
      <c r="A19" s="368">
        <f>A18+1</f>
        <v/>
      </c>
      <c r="B19" s="307" t="n"/>
      <c r="C19" s="307" t="inlineStr">
        <is>
          <t>91.14.02-001</t>
        </is>
      </c>
      <c r="D19" s="367" t="inlineStr">
        <is>
          <t>Автомобили бортовые, грузоподъемность до 5 т</t>
        </is>
      </c>
      <c r="E19" s="368" t="inlineStr">
        <is>
          <t>маш.час</t>
        </is>
      </c>
      <c r="F19" s="368" t="n">
        <v>0.15</v>
      </c>
      <c r="G19" s="370" t="n">
        <v>65.70999999999999</v>
      </c>
      <c r="H19" s="295">
        <f>ROUND(F19*G19,2)</f>
        <v/>
      </c>
      <c r="I19" s="254" t="n"/>
    </row>
    <row r="20">
      <c r="A20" s="368">
        <f>A19+1</f>
        <v/>
      </c>
      <c r="B20" s="307" t="n"/>
      <c r="C20" s="307" t="inlineStr">
        <is>
          <t>91.06.06-042</t>
        </is>
      </c>
      <c r="D20" s="367" t="inlineStr">
        <is>
          <t>Подъемники гидравлические, высота подъема 10 м</t>
        </is>
      </c>
      <c r="E20" s="368" t="inlineStr">
        <is>
          <t>маш.час</t>
        </is>
      </c>
      <c r="F20" s="368" t="n">
        <v>0.05</v>
      </c>
      <c r="G20" s="370" t="n">
        <v>29.6</v>
      </c>
      <c r="H20" s="295">
        <f>ROUND(F20*G20,2)</f>
        <v/>
      </c>
      <c r="I20" s="254" t="n"/>
    </row>
    <row r="21" ht="15" customHeight="1" s="321">
      <c r="A21" s="360" t="inlineStr">
        <is>
          <t>Оборудование</t>
        </is>
      </c>
      <c r="B21" s="429" t="n"/>
      <c r="C21" s="429" t="n"/>
      <c r="D21" s="430" t="n"/>
      <c r="E21" s="255" t="n"/>
      <c r="F21" s="256" t="n"/>
      <c r="G21" s="253" t="n"/>
      <c r="H21" s="292" t="n"/>
      <c r="I21" s="254" t="n"/>
    </row>
    <row r="22" ht="15" customHeight="1" s="321">
      <c r="A22" s="359" t="inlineStr">
        <is>
          <t>Материалы</t>
        </is>
      </c>
      <c r="B22" s="429" t="n"/>
      <c r="C22" s="429" t="n"/>
      <c r="D22" s="430" t="n"/>
      <c r="E22" s="277" t="n"/>
      <c r="F22" s="277" t="n"/>
      <c r="G22" s="247" t="n"/>
      <c r="H22" s="289">
        <f>SUM(H23:H32)</f>
        <v/>
      </c>
    </row>
    <row r="23">
      <c r="A23" s="368">
        <f>A20+1</f>
        <v/>
      </c>
      <c r="B23" s="307" t="n"/>
      <c r="C23" s="307" t="inlineStr">
        <is>
          <t>Прайс из СД ОП</t>
        </is>
      </c>
      <c r="D23" s="367" t="inlineStr">
        <is>
          <t>Изолятор подвесной стеклянный ПСД-70Е</t>
        </is>
      </c>
      <c r="E23" s="368" t="inlineStr">
        <is>
          <t>шт</t>
        </is>
      </c>
      <c r="F23" s="338" t="n">
        <v>5</v>
      </c>
      <c r="G23" s="370" t="n">
        <v>215.86</v>
      </c>
      <c r="H23" s="295">
        <f>ROUND(F23*G23,2)</f>
        <v/>
      </c>
      <c r="I23" s="254" t="n"/>
    </row>
    <row r="24">
      <c r="A24" s="368">
        <f>A23+1</f>
        <v/>
      </c>
      <c r="B24" s="307" t="n"/>
      <c r="C24" s="369" t="inlineStr">
        <is>
          <t>20.5.04.04-0052</t>
        </is>
      </c>
      <c r="D24" s="367" t="inlineStr">
        <is>
          <t>Зажим натяжной спиральный НС-15,2-02</t>
        </is>
      </c>
      <c r="E24" s="368" t="inlineStr">
        <is>
          <t>шт</t>
        </is>
      </c>
      <c r="F24" s="338" t="n">
        <v>1</v>
      </c>
      <c r="G24" s="370" t="n">
        <v>484.94</v>
      </c>
      <c r="H24" s="295">
        <f>ROUND(F24*G24,2)</f>
        <v/>
      </c>
      <c r="I24" s="254" t="n"/>
    </row>
    <row r="25">
      <c r="A25" s="368">
        <f>A24+1</f>
        <v/>
      </c>
      <c r="B25" s="307" t="n"/>
      <c r="C25" s="307" t="inlineStr">
        <is>
          <t>22.2.02.04-0035</t>
        </is>
      </c>
      <c r="D25" s="367" t="inlineStr">
        <is>
          <t>Звено промежуточное регулируемое ПРР-7-1</t>
        </is>
      </c>
      <c r="E25" s="368" t="inlineStr">
        <is>
          <t>шт</t>
        </is>
      </c>
      <c r="F25" s="368" t="n">
        <v>1</v>
      </c>
      <c r="G25" s="370" t="n">
        <v>121.66</v>
      </c>
      <c r="H25" s="295">
        <f>ROUND(F25*G25,2)</f>
        <v/>
      </c>
      <c r="I25" s="254" t="n"/>
    </row>
    <row r="26">
      <c r="A26" s="368">
        <f>A25+1</f>
        <v/>
      </c>
      <c r="B26" s="307" t="n"/>
      <c r="C26" s="307" t="inlineStr">
        <is>
          <t>01.7.15.10-0001</t>
        </is>
      </c>
      <c r="D26" s="367" t="inlineStr">
        <is>
          <t>Скобы длинные СКД-10-1</t>
        </is>
      </c>
      <c r="E26" s="368" t="inlineStr">
        <is>
          <t>шт</t>
        </is>
      </c>
      <c r="F26" s="368" t="n">
        <v>1</v>
      </c>
      <c r="G26" s="370" t="n">
        <v>45.18</v>
      </c>
      <c r="H26" s="295">
        <f>ROUND(F26*G26,2)</f>
        <v/>
      </c>
      <c r="I26" s="254" t="n"/>
    </row>
    <row r="27">
      <c r="A27" s="368">
        <f>A26+1</f>
        <v/>
      </c>
      <c r="B27" s="307" t="n"/>
      <c r="C27" s="307" t="inlineStr">
        <is>
          <t>20.1.02.22-0005</t>
        </is>
      </c>
      <c r="D27" s="367" t="inlineStr">
        <is>
          <t>Ушко: однолапчатое У1-7-16</t>
        </is>
      </c>
      <c r="E27" s="368" t="inlineStr">
        <is>
          <t>шт</t>
        </is>
      </c>
      <c r="F27" s="368" t="n">
        <v>1</v>
      </c>
      <c r="G27" s="370" t="n">
        <v>39.32</v>
      </c>
      <c r="H27" s="295">
        <f>ROUND(F27*G27,2)</f>
        <v/>
      </c>
      <c r="I27" s="254" t="n"/>
    </row>
    <row r="28">
      <c r="A28" s="368">
        <f>A27+1</f>
        <v/>
      </c>
      <c r="B28" s="307" t="n"/>
      <c r="C28" s="307" t="inlineStr">
        <is>
          <t>22.2.02.04-0041</t>
        </is>
      </c>
      <c r="D28" s="367" t="inlineStr">
        <is>
          <t>Звено промежуточное трехлапчатое ПРТ-7-1</t>
        </is>
      </c>
      <c r="E28" s="368" t="inlineStr">
        <is>
          <t>шт</t>
        </is>
      </c>
      <c r="F28" s="368" t="n">
        <v>1</v>
      </c>
      <c r="G28" s="370" t="n">
        <v>36.42</v>
      </c>
      <c r="H28" s="295">
        <f>ROUND(F28*G28,2)</f>
        <v/>
      </c>
      <c r="I28" s="254" t="n"/>
    </row>
    <row r="29">
      <c r="A29" s="368">
        <f>A28+1</f>
        <v/>
      </c>
      <c r="B29" s="307" t="n"/>
      <c r="C29" s="307" t="inlineStr">
        <is>
          <t>01.7.15.10-0031</t>
        </is>
      </c>
      <c r="D29" s="367" t="inlineStr">
        <is>
          <t>Скобы СК-7-1А</t>
        </is>
      </c>
      <c r="E29" s="368" t="inlineStr">
        <is>
          <t>шт</t>
        </is>
      </c>
      <c r="F29" s="368" t="n">
        <v>1</v>
      </c>
      <c r="G29" s="370" t="n">
        <v>28.07</v>
      </c>
      <c r="H29" s="295">
        <f>ROUND(F29*G29,2)</f>
        <v/>
      </c>
      <c r="I29" s="254" t="n"/>
    </row>
    <row r="30">
      <c r="A30" s="368">
        <f>A29+1</f>
        <v/>
      </c>
      <c r="B30" s="307" t="n"/>
      <c r="C30" s="307" t="inlineStr">
        <is>
          <t>22.2.02.04-0005</t>
        </is>
      </c>
      <c r="D30" s="367" t="inlineStr">
        <is>
          <t>Звено промежуточное монтажное ПТМ-7-2</t>
        </is>
      </c>
      <c r="E30" s="368" t="inlineStr">
        <is>
          <t>шт</t>
        </is>
      </c>
      <c r="F30" s="368" t="n">
        <v>1</v>
      </c>
      <c r="G30" s="370" t="n">
        <v>25.36</v>
      </c>
      <c r="H30" s="295">
        <f>ROUND(F30*G30,2)</f>
        <v/>
      </c>
      <c r="I30" s="254" t="n"/>
    </row>
    <row r="31">
      <c r="A31" s="368">
        <f>A30+1</f>
        <v/>
      </c>
      <c r="B31" s="307" t="n"/>
      <c r="C31" s="307" t="inlineStr">
        <is>
          <t>20.1.02.14-1014</t>
        </is>
      </c>
      <c r="D31" s="367" t="inlineStr">
        <is>
          <t>Серьга СР-7-16</t>
        </is>
      </c>
      <c r="E31" s="368" t="inlineStr">
        <is>
          <t>шт</t>
        </is>
      </c>
      <c r="F31" s="368" t="n">
        <v>1</v>
      </c>
      <c r="G31" s="370" t="n">
        <v>9.359999999999999</v>
      </c>
      <c r="H31" s="295">
        <f>ROUND(F31*G31,2)</f>
        <v/>
      </c>
      <c r="I31" s="254" t="n"/>
    </row>
    <row r="32" ht="25.5" customHeight="1" s="321">
      <c r="A32" s="368">
        <f>A31+1</f>
        <v/>
      </c>
      <c r="B32" s="307" t="n"/>
      <c r="C32" s="307" t="inlineStr">
        <is>
          <t>999-9950</t>
        </is>
      </c>
      <c r="D32" s="367" t="inlineStr">
        <is>
          <t>Вспомогательные ненормируемые ресурсы (2% от Оплаты труда рабочих)</t>
        </is>
      </c>
      <c r="E32" s="368" t="inlineStr">
        <is>
          <t>руб</t>
        </is>
      </c>
      <c r="F32" s="368" t="n">
        <v>0.5964</v>
      </c>
      <c r="G32" s="370" t="n">
        <v>1</v>
      </c>
      <c r="H32" s="295">
        <f>ROUND(F32*G32,2)</f>
        <v/>
      </c>
      <c r="I32" s="254" t="n"/>
    </row>
    <row r="33">
      <c r="C33" s="261" t="n"/>
      <c r="D33" s="262" t="n"/>
      <c r="E33" s="263" t="n"/>
      <c r="F33" s="263" t="n"/>
      <c r="G33" s="264" t="n"/>
      <c r="H33" s="265" t="n"/>
    </row>
    <row r="34" ht="25.5" customHeight="1" s="321">
      <c r="B34" s="257" t="inlineStr">
        <is>
          <t xml:space="preserve">Примечание: </t>
        </is>
      </c>
      <c r="C34" s="364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36" ht="14.25" customFormat="1" customHeight="1" s="337">
      <c r="A36" s="334" t="inlineStr">
        <is>
          <t>Составил ______________________    А.Р. Маркова</t>
        </is>
      </c>
    </row>
    <row r="37" ht="14.25" customFormat="1" customHeight="1" s="337">
      <c r="A37" s="336" t="inlineStr">
        <is>
          <t xml:space="preserve">                         (подпись, инициалы, фамилия)</t>
        </is>
      </c>
    </row>
    <row r="38" ht="14.25" customFormat="1" customHeight="1" s="337">
      <c r="A38" s="334" t="n"/>
    </row>
    <row r="39" ht="14.25" customFormat="1" customHeight="1" s="337">
      <c r="A39" s="334" t="inlineStr">
        <is>
          <t>Проверил ______________________        А.В. Костянецкая</t>
        </is>
      </c>
    </row>
    <row r="40" ht="14.25" customFormat="1" customHeight="1" s="337">
      <c r="A40" s="336" t="inlineStr">
        <is>
          <t xml:space="preserve">                        (подпись, инициалы, фамилия)</t>
        </is>
      </c>
    </row>
  </sheetData>
  <mergeCells count="17">
    <mergeCell ref="C9:C10"/>
    <mergeCell ref="B9:B10"/>
    <mergeCell ref="D9:D10"/>
    <mergeCell ref="E9:E10"/>
    <mergeCell ref="A6:F7"/>
    <mergeCell ref="F9:F10"/>
    <mergeCell ref="A22:D22"/>
    <mergeCell ref="A9:A10"/>
    <mergeCell ref="A12:D12"/>
    <mergeCell ref="A2:H2"/>
    <mergeCell ref="A21:D21"/>
    <mergeCell ref="A3:I3"/>
    <mergeCell ref="A16:D16"/>
    <mergeCell ref="C34:H34"/>
    <mergeCell ref="C4:H4"/>
    <mergeCell ref="G9:H9"/>
    <mergeCell ref="A14:D14"/>
  </mergeCells>
  <pageMargins left="0.7086614173228347" right="0.7086614173228347" top="0.7480314960629921" bottom="0.7480314960629921" header="0.3149606299212598" footer="0.3149606299212598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1" workbookViewId="0">
      <selection activeCell="D46" sqref="D46"/>
    </sheetView>
  </sheetViews>
  <sheetFormatPr baseColWidth="8" defaultRowHeight="15"/>
  <cols>
    <col width="4.140625" customWidth="1" style="321" min="1" max="1"/>
    <col width="36.28515625" customWidth="1" style="321" min="2" max="2"/>
    <col width="18.85546875" customWidth="1" style="321" min="3" max="3"/>
    <col width="18.28515625" customWidth="1" style="321" min="4" max="4"/>
    <col width="18.85546875" customWidth="1" style="321" min="5" max="5"/>
    <col width="9.140625" customWidth="1" style="321" min="6" max="6"/>
    <col width="12.85546875" customWidth="1" style="321" min="7" max="7"/>
    <col width="9.140625" customWidth="1" style="321" min="8" max="11"/>
    <col width="13.5703125" customWidth="1" style="321" min="12" max="12"/>
    <col width="9.140625" customWidth="1" style="321" min="13" max="13"/>
  </cols>
  <sheetData>
    <row r="1">
      <c r="B1" s="334" t="n"/>
      <c r="C1" s="334" t="n"/>
      <c r="D1" s="334" t="n"/>
      <c r="E1" s="334" t="n"/>
    </row>
    <row r="2">
      <c r="B2" s="334" t="n"/>
      <c r="C2" s="334" t="n"/>
      <c r="D2" s="334" t="n"/>
      <c r="E2" s="378" t="inlineStr">
        <is>
          <t>Приложение № 4</t>
        </is>
      </c>
    </row>
    <row r="3">
      <c r="B3" s="334" t="n"/>
      <c r="C3" s="334" t="n"/>
      <c r="D3" s="334" t="n"/>
      <c r="E3" s="334" t="n"/>
    </row>
    <row r="4">
      <c r="B4" s="334" t="n"/>
      <c r="C4" s="334" t="n"/>
      <c r="D4" s="334" t="n"/>
      <c r="E4" s="334" t="n"/>
    </row>
    <row r="5">
      <c r="B5" s="339" t="inlineStr">
        <is>
          <t>Ресурсная модель</t>
        </is>
      </c>
    </row>
    <row r="6">
      <c r="B6" s="199" t="n"/>
      <c r="C6" s="334" t="n"/>
      <c r="D6" s="334" t="n"/>
      <c r="E6" s="334" t="n"/>
    </row>
    <row r="7" ht="25.5" customHeight="1" s="321">
      <c r="B7" s="365" t="inlineStr">
        <is>
          <t>Наименование разрабатываемого показателя УНЦ - Гирлянды изоляторов ВЛ напряжение 35 кВ</t>
        </is>
      </c>
    </row>
    <row r="8">
      <c r="B8" s="366" t="inlineStr">
        <is>
          <t>Единица измерения  — 1 км ВЛ</t>
        </is>
      </c>
    </row>
    <row r="9">
      <c r="B9" s="199" t="n"/>
      <c r="C9" s="334" t="n"/>
      <c r="D9" s="334" t="n"/>
      <c r="E9" s="334" t="n"/>
    </row>
    <row r="10" ht="51" customHeight="1" s="321">
      <c r="B10" s="368" t="inlineStr">
        <is>
          <t>Наименование</t>
        </is>
      </c>
      <c r="C10" s="368" t="inlineStr">
        <is>
          <t>Сметная стоимость в ценах на 01.01.2023
 (руб.)</t>
        </is>
      </c>
      <c r="D10" s="368" t="inlineStr">
        <is>
          <t>Удельный вес, 
(в СМР)</t>
        </is>
      </c>
      <c r="E10" s="368" t="inlineStr">
        <is>
          <t>Удельный вес, % 
(от всего по РМ)</t>
        </is>
      </c>
    </row>
    <row r="11">
      <c r="B11" s="303" t="inlineStr">
        <is>
          <t>Оплата труда рабочих</t>
        </is>
      </c>
      <c r="C11" s="200">
        <f>'Прил.5 Расчет СМР и ОБ'!J15</f>
        <v/>
      </c>
      <c r="D11" s="304">
        <f>C11/$C$24</f>
        <v/>
      </c>
      <c r="E11" s="304">
        <f>C11/$C$40</f>
        <v/>
      </c>
    </row>
    <row r="12">
      <c r="B12" s="303" t="inlineStr">
        <is>
          <t>Эксплуатация машин основных</t>
        </is>
      </c>
      <c r="C12" s="200">
        <f>'Прил.5 Расчет СМР и ОБ'!J22</f>
        <v/>
      </c>
      <c r="D12" s="304">
        <f>C12/$C$24</f>
        <v/>
      </c>
      <c r="E12" s="304">
        <f>C12/$C$40</f>
        <v/>
      </c>
    </row>
    <row r="13">
      <c r="B13" s="303" t="inlineStr">
        <is>
          <t>Эксплуатация машин прочих</t>
        </is>
      </c>
      <c r="C13" s="200">
        <f>'Прил.5 Расчет СМР и ОБ'!J25</f>
        <v/>
      </c>
      <c r="D13" s="304">
        <f>C13/$C$24</f>
        <v/>
      </c>
      <c r="E13" s="304">
        <f>C13/$C$40</f>
        <v/>
      </c>
    </row>
    <row r="14">
      <c r="B14" s="303" t="inlineStr">
        <is>
          <t>ЭКСПЛУАТАЦИЯ МАШИН, ВСЕГО:</t>
        </is>
      </c>
      <c r="C14" s="200">
        <f>C13+C12</f>
        <v/>
      </c>
      <c r="D14" s="304">
        <f>C14/$C$24</f>
        <v/>
      </c>
      <c r="E14" s="304">
        <f>C14/$C$40</f>
        <v/>
      </c>
    </row>
    <row r="15">
      <c r="B15" s="303" t="inlineStr">
        <is>
          <t>в том числе зарплата машинистов</t>
        </is>
      </c>
      <c r="C15" s="200">
        <f>'Прил.5 Расчет СМР и ОБ'!J17</f>
        <v/>
      </c>
      <c r="D15" s="304">
        <f>C15/$C$24</f>
        <v/>
      </c>
      <c r="E15" s="304">
        <f>C15/$C$40</f>
        <v/>
      </c>
    </row>
    <row r="16">
      <c r="B16" s="303" t="inlineStr">
        <is>
          <t>Материалы основные</t>
        </is>
      </c>
      <c r="C16" s="200">
        <f>'Прил.5 Расчет СМР и ОБ'!J38</f>
        <v/>
      </c>
      <c r="D16" s="304">
        <f>C16/$C$24</f>
        <v/>
      </c>
      <c r="E16" s="304">
        <f>C16/$C$40</f>
        <v/>
      </c>
    </row>
    <row r="17">
      <c r="B17" s="303" t="inlineStr">
        <is>
          <t>Материалы прочие</t>
        </is>
      </c>
      <c r="C17" s="200">
        <f>'Прил.5 Расчет СМР и ОБ'!J46</f>
        <v/>
      </c>
      <c r="D17" s="304">
        <f>C17/$C$24</f>
        <v/>
      </c>
      <c r="E17" s="304">
        <f>C17/$C$40</f>
        <v/>
      </c>
      <c r="G17" s="201" t="n"/>
    </row>
    <row r="18">
      <c r="B18" s="303" t="inlineStr">
        <is>
          <t>МАТЕРИАЛЫ, ВСЕГО:</t>
        </is>
      </c>
      <c r="C18" s="200">
        <f>C17+C16</f>
        <v/>
      </c>
      <c r="D18" s="304">
        <f>C18/$C$24</f>
        <v/>
      </c>
      <c r="E18" s="304">
        <f>C18/$C$40</f>
        <v/>
      </c>
    </row>
    <row r="19">
      <c r="B19" s="303" t="inlineStr">
        <is>
          <t>ИТОГО</t>
        </is>
      </c>
      <c r="C19" s="200">
        <f>C18+C14+C11</f>
        <v/>
      </c>
      <c r="D19" s="304" t="n"/>
      <c r="E19" s="303" t="n"/>
    </row>
    <row r="20">
      <c r="B20" s="303" t="inlineStr">
        <is>
          <t>Сметная прибыль, руб.</t>
        </is>
      </c>
      <c r="C20" s="200">
        <f>ROUND(C21*(C11+C15),2)</f>
        <v/>
      </c>
      <c r="D20" s="304">
        <f>C20/$C$24</f>
        <v/>
      </c>
      <c r="E20" s="304">
        <f>C20/$C$40</f>
        <v/>
      </c>
    </row>
    <row r="21">
      <c r="B21" s="303" t="inlineStr">
        <is>
          <t>Сметная прибыль, %</t>
        </is>
      </c>
      <c r="C21" s="305">
        <f>'Прил.5 Расчет СМР и ОБ'!D50</f>
        <v/>
      </c>
      <c r="D21" s="304" t="n"/>
      <c r="E21" s="303" t="n"/>
    </row>
    <row r="22">
      <c r="B22" s="303" t="inlineStr">
        <is>
          <t>Накладные расходы, руб.</t>
        </is>
      </c>
      <c r="C22" s="200">
        <f>ROUND(C23*(C11+C15),2)</f>
        <v/>
      </c>
      <c r="D22" s="304">
        <f>C22/$C$24</f>
        <v/>
      </c>
      <c r="E22" s="304">
        <f>C22/$C$40</f>
        <v/>
      </c>
    </row>
    <row r="23">
      <c r="B23" s="303" t="inlineStr">
        <is>
          <t>Накладные расходы, %</t>
        </is>
      </c>
      <c r="C23" s="305">
        <f>'Прил.5 Расчет СМР и ОБ'!D49</f>
        <v/>
      </c>
      <c r="D23" s="304" t="n"/>
      <c r="E23" s="303" t="n"/>
    </row>
    <row r="24">
      <c r="B24" s="303" t="inlineStr">
        <is>
          <t>ВСЕГО СМР с НР и СП</t>
        </is>
      </c>
      <c r="C24" s="200">
        <f>C19+C20+C22</f>
        <v/>
      </c>
      <c r="D24" s="304">
        <f>C24/$C$24</f>
        <v/>
      </c>
      <c r="E24" s="304">
        <f>C24/$C$40</f>
        <v/>
      </c>
    </row>
    <row r="25" ht="25.5" customHeight="1" s="321">
      <c r="B25" s="303" t="inlineStr">
        <is>
          <t>ВСЕГО стоимость оборудования, в том числе</t>
        </is>
      </c>
      <c r="C25" s="200">
        <f>'Прил.5 Расчет СМР и ОБ'!J31</f>
        <v/>
      </c>
      <c r="D25" s="304" t="n"/>
      <c r="E25" s="304">
        <f>C25/$C$40</f>
        <v/>
      </c>
    </row>
    <row r="26" ht="25.5" customHeight="1" s="321">
      <c r="B26" s="303" t="inlineStr">
        <is>
          <t>стоимость оборудования технологического</t>
        </is>
      </c>
      <c r="C26" s="200">
        <f>C25</f>
        <v/>
      </c>
      <c r="D26" s="304" t="n"/>
      <c r="E26" s="304">
        <f>C26/$C$40</f>
        <v/>
      </c>
    </row>
    <row r="27">
      <c r="B27" s="303" t="inlineStr">
        <is>
          <t>ИТОГО (СМР + ОБОРУДОВАНИЕ)</t>
        </is>
      </c>
      <c r="C27" s="202">
        <f>C24+C25</f>
        <v/>
      </c>
      <c r="D27" s="304" t="n"/>
      <c r="E27" s="304">
        <f>C27/$C$40</f>
        <v/>
      </c>
    </row>
    <row r="28" ht="33" customHeight="1" s="321">
      <c r="B28" s="303" t="inlineStr">
        <is>
          <t>ПРОЧ. ЗАТР., УЧТЕННЫЕ ПОКАЗАТЕЛЕМ,  в том числе</t>
        </is>
      </c>
      <c r="C28" s="303" t="n"/>
      <c r="D28" s="303" t="n"/>
      <c r="E28" s="303" t="n"/>
    </row>
    <row r="29" ht="25.5" customHeight="1" s="321">
      <c r="B29" s="303" t="inlineStr">
        <is>
          <t>Временные здания и сооружения - 3,3%</t>
        </is>
      </c>
      <c r="C29" s="202">
        <f>ROUND(C24*3.3%,2)</f>
        <v/>
      </c>
      <c r="D29" s="303" t="n"/>
      <c r="E29" s="304">
        <f>C29/$C$40</f>
        <v/>
      </c>
    </row>
    <row r="30" ht="38.25" customHeight="1" s="321">
      <c r="B30" s="303" t="inlineStr">
        <is>
          <t>Дополнительные затраты при производстве строительно-монтажных работ в зимнее время - 1,0%</t>
        </is>
      </c>
      <c r="C30" s="202">
        <f>ROUND((C24+C29)*1%,2)</f>
        <v/>
      </c>
      <c r="D30" s="303" t="n"/>
      <c r="E30" s="304">
        <f>C30/$C$40</f>
        <v/>
      </c>
    </row>
    <row r="31" ht="25.5" customHeight="1" s="321">
      <c r="B31" s="303" t="inlineStr">
        <is>
          <t>Пусконаладочные работы (на основании СД ОП)</t>
        </is>
      </c>
      <c r="C31" s="202" t="n">
        <v>0</v>
      </c>
      <c r="D31" s="303" t="n"/>
      <c r="E31" s="304">
        <f>C31/$C$40</f>
        <v/>
      </c>
    </row>
    <row r="32" ht="25.5" customHeight="1" s="321">
      <c r="B32" s="303" t="inlineStr">
        <is>
          <t>Затраты по перевозке работников к месту работы и обратно</t>
        </is>
      </c>
      <c r="C32" s="202">
        <f>ROUND($C$27*0%,2)</f>
        <v/>
      </c>
      <c r="D32" s="303" t="n"/>
      <c r="E32" s="304">
        <f>C32/$C$40</f>
        <v/>
      </c>
    </row>
    <row r="33" ht="25.5" customHeight="1" s="321">
      <c r="B33" s="303" t="inlineStr">
        <is>
          <t>Затраты, связанные с осуществлением работ вахтовым методом</t>
        </is>
      </c>
      <c r="C33" s="202">
        <f>ROUND($C$27*0%,2)</f>
        <v/>
      </c>
      <c r="D33" s="303" t="n"/>
      <c r="E33" s="304">
        <f>C33/$C$40</f>
        <v/>
      </c>
    </row>
    <row r="34" ht="51" customHeight="1" s="321">
      <c r="B34" s="303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02">
        <f>ROUND($C$27*0%,2)</f>
        <v/>
      </c>
      <c r="D34" s="303" t="n"/>
      <c r="E34" s="304">
        <f>C34/$C$40</f>
        <v/>
      </c>
    </row>
    <row r="35" ht="76.5" customHeight="1" s="321">
      <c r="B35" s="303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02">
        <f>ROUND($C$27*0%,2)</f>
        <v/>
      </c>
      <c r="D35" s="303" t="n"/>
      <c r="E35" s="304">
        <f>C35/$C$40</f>
        <v/>
      </c>
    </row>
    <row r="36" ht="25.5" customHeight="1" s="321">
      <c r="B36" s="303" t="inlineStr">
        <is>
          <t>Строительный контроль и содержание службы заказчика - 2,14%</t>
        </is>
      </c>
      <c r="C36" s="202">
        <f>ROUND((C27+C32+C33+C34+C35+C29+C31+C30)*2.14%,2)</f>
        <v/>
      </c>
      <c r="D36" s="303" t="n"/>
      <c r="E36" s="304">
        <f>C36/$C$40</f>
        <v/>
      </c>
      <c r="G36" s="163" t="n"/>
      <c r="L36" s="203" t="n"/>
    </row>
    <row r="37">
      <c r="B37" s="303" t="inlineStr">
        <is>
          <t>Авторский надзор - 0,2%</t>
        </is>
      </c>
      <c r="C37" s="202">
        <f>ROUND((C27+C32+C33+C34+C35+C29+C31+C30)*0.2%,2)</f>
        <v/>
      </c>
      <c r="D37" s="303" t="n"/>
      <c r="E37" s="304">
        <f>C37/$C$40</f>
        <v/>
      </c>
      <c r="G37" s="163" t="n"/>
      <c r="L37" s="203" t="n"/>
    </row>
    <row r="38" ht="38.25" customHeight="1" s="321">
      <c r="B38" s="303" t="inlineStr">
        <is>
          <t>ИТОГО (СМР+ОБОРУДОВАНИЕ+ПРОЧ. ЗАТР., УЧТЕННЫЕ ПОКАЗАТЕЛЕМ)</t>
        </is>
      </c>
      <c r="C38" s="200">
        <f>C27+C32+C33+C34+C35+C29+C31+C30+C36+C37</f>
        <v/>
      </c>
      <c r="D38" s="303" t="n"/>
      <c r="E38" s="304">
        <f>C38/$C$40</f>
        <v/>
      </c>
    </row>
    <row r="39" ht="13.5" customHeight="1" s="321">
      <c r="B39" s="303" t="inlineStr">
        <is>
          <t>Непредвиденные расходы</t>
        </is>
      </c>
      <c r="C39" s="200">
        <f>ROUND(C38*3%,2)</f>
        <v/>
      </c>
      <c r="D39" s="303" t="n"/>
      <c r="E39" s="304">
        <f>C39/$C$38</f>
        <v/>
      </c>
    </row>
    <row r="40">
      <c r="B40" s="303" t="inlineStr">
        <is>
          <t>ВСЕГО:</t>
        </is>
      </c>
      <c r="C40" s="200">
        <f>C39+C38</f>
        <v/>
      </c>
      <c r="D40" s="303" t="n"/>
      <c r="E40" s="304">
        <f>C40/$C$40</f>
        <v/>
      </c>
    </row>
    <row r="41">
      <c r="B41" s="303" t="inlineStr">
        <is>
          <t>ИТОГО ПОКАЗАТЕЛЬ НА ЕД. ИЗМ.</t>
        </is>
      </c>
      <c r="C41" s="200">
        <f>C40/'Прил.5 Расчет СМР и ОБ'!E53</f>
        <v/>
      </c>
      <c r="D41" s="303" t="n"/>
      <c r="E41" s="303" t="n"/>
    </row>
    <row r="42">
      <c r="B42" s="314" t="n"/>
      <c r="C42" s="334" t="n"/>
      <c r="D42" s="334" t="n"/>
      <c r="E42" s="334" t="n"/>
    </row>
    <row r="43">
      <c r="B43" s="314" t="inlineStr">
        <is>
          <t>Составил ____________________________ А.Р. Маркова</t>
        </is>
      </c>
      <c r="C43" s="334" t="n"/>
      <c r="D43" s="334" t="n"/>
      <c r="E43" s="334" t="n"/>
    </row>
    <row r="44">
      <c r="B44" s="314" t="inlineStr">
        <is>
          <t xml:space="preserve">(должность, подпись, инициалы, фамилия) </t>
        </is>
      </c>
      <c r="C44" s="334" t="n"/>
      <c r="D44" s="334" t="n"/>
      <c r="E44" s="334" t="n"/>
    </row>
    <row r="45">
      <c r="B45" s="314" t="n"/>
      <c r="C45" s="334" t="n"/>
      <c r="D45" s="334" t="n"/>
      <c r="E45" s="334" t="n"/>
    </row>
    <row r="46">
      <c r="B46" s="314" t="inlineStr">
        <is>
          <t>Проверил ____________________________ А.В. Костянецкая</t>
        </is>
      </c>
      <c r="C46" s="334" t="n"/>
      <c r="D46" s="334" t="n"/>
      <c r="E46" s="334" t="n"/>
    </row>
    <row r="47">
      <c r="B47" s="366" t="inlineStr">
        <is>
          <t>(должность, подпись, инициалы, фамилия)</t>
        </is>
      </c>
      <c r="D47" s="334" t="n"/>
      <c r="E47" s="334" t="n"/>
    </row>
    <row r="49">
      <c r="B49" s="334" t="n"/>
      <c r="C49" s="334" t="n"/>
      <c r="D49" s="334" t="n"/>
      <c r="E49" s="334" t="n"/>
    </row>
    <row r="50">
      <c r="B50" s="334" t="n"/>
      <c r="C50" s="334" t="n"/>
      <c r="D50" s="334" t="n"/>
      <c r="E50" s="334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5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9"/>
  <sheetViews>
    <sheetView view="pageBreakPreview" topLeftCell="A40" zoomScale="70" workbookViewId="0">
      <selection activeCell="D57" sqref="D57"/>
    </sheetView>
  </sheetViews>
  <sheetFormatPr baseColWidth="8" defaultColWidth="9.140625" defaultRowHeight="15" outlineLevelRow="1"/>
  <cols>
    <col width="5.7109375" customWidth="1" style="337" min="1" max="1"/>
    <col width="22.5703125" customWidth="1" style="337" min="2" max="2"/>
    <col width="39.140625" customWidth="1" style="337" min="3" max="3"/>
    <col width="12.7109375" customWidth="1" style="337" min="4" max="5"/>
    <col width="14.5703125" customWidth="1" style="337" min="6" max="6"/>
    <col width="13.42578125" customWidth="1" style="337" min="7" max="7"/>
    <col width="12.7109375" customWidth="1" style="337" min="8" max="8"/>
    <col width="13.85546875" customWidth="1" style="337" min="9" max="9"/>
    <col width="17.5703125" customWidth="1" style="337" min="10" max="10"/>
    <col width="10.85546875" customWidth="1" style="337" min="11" max="11"/>
    <col width="9.140625" customWidth="1" style="337" min="12" max="12"/>
    <col width="9.140625" customWidth="1" style="321" min="13" max="13"/>
  </cols>
  <sheetData>
    <row r="1" s="321">
      <c r="A1" s="337" t="n"/>
      <c r="B1" s="337" t="n"/>
      <c r="C1" s="337" t="n"/>
      <c r="D1" s="337" t="n"/>
      <c r="E1" s="337" t="n"/>
      <c r="F1" s="337" t="n"/>
      <c r="G1" s="337" t="n"/>
      <c r="H1" s="337" t="n"/>
      <c r="I1" s="337" t="n"/>
      <c r="J1" s="337" t="n"/>
      <c r="K1" s="337" t="n"/>
      <c r="L1" s="337" t="n"/>
      <c r="M1" s="337" t="n"/>
      <c r="N1" s="337" t="n"/>
    </row>
    <row r="2" ht="15.75" customHeight="1" s="321">
      <c r="A2" s="337" t="n"/>
      <c r="B2" s="337" t="n"/>
      <c r="C2" s="337" t="n"/>
      <c r="D2" s="337" t="n"/>
      <c r="E2" s="337" t="n"/>
      <c r="F2" s="337" t="n"/>
      <c r="G2" s="337" t="n"/>
      <c r="H2" s="373" t="inlineStr">
        <is>
          <t>Приложение №5</t>
        </is>
      </c>
      <c r="K2" s="337" t="n"/>
      <c r="L2" s="337" t="n"/>
      <c r="M2" s="337" t="n"/>
      <c r="N2" s="337" t="n"/>
    </row>
    <row r="3" s="321">
      <c r="A3" s="337" t="n"/>
      <c r="B3" s="337" t="n"/>
      <c r="C3" s="337" t="n"/>
      <c r="D3" s="337" t="n"/>
      <c r="E3" s="337" t="n"/>
      <c r="F3" s="337" t="n"/>
      <c r="G3" s="337" t="n"/>
      <c r="H3" s="337" t="n"/>
      <c r="I3" s="337" t="n"/>
      <c r="J3" s="337" t="n"/>
      <c r="K3" s="337" t="n"/>
      <c r="L3" s="337" t="n"/>
      <c r="M3" s="337" t="n"/>
      <c r="N3" s="337" t="n"/>
    </row>
    <row r="4" ht="12.75" customFormat="1" customHeight="1" s="334">
      <c r="A4" s="339" t="inlineStr">
        <is>
          <t>Расчет стоимости СМР и оборудования</t>
        </is>
      </c>
    </row>
    <row r="5" ht="12.75" customFormat="1" customHeight="1" s="334">
      <c r="A5" s="339" t="n"/>
      <c r="B5" s="339" t="n"/>
      <c r="C5" s="385" t="n"/>
      <c r="D5" s="339" t="n"/>
      <c r="E5" s="339" t="n"/>
      <c r="F5" s="339" t="n"/>
      <c r="G5" s="339" t="n"/>
      <c r="H5" s="339" t="n"/>
      <c r="I5" s="339" t="n"/>
      <c r="J5" s="339" t="n"/>
    </row>
    <row r="6" ht="12.75" customFormat="1" customHeight="1" s="334">
      <c r="A6" s="342" t="inlineStr">
        <is>
          <t>Наименование разрабатываемого показателя УНЦ</t>
        </is>
      </c>
      <c r="D6" s="342" t="inlineStr">
        <is>
          <t>Гирлянды изоляторов ВЛ напряжение 35 кВ</t>
        </is>
      </c>
    </row>
    <row r="7" ht="12.75" customFormat="1" customHeight="1" s="334">
      <c r="A7" s="342" t="inlineStr">
        <is>
          <t>Единица измерения  — 1 км ВЛ</t>
        </is>
      </c>
      <c r="I7" s="365" t="n"/>
      <c r="J7" s="365" t="n"/>
    </row>
    <row r="8" ht="13.5" customFormat="1" customHeight="1" s="334">
      <c r="A8" s="342" t="n"/>
    </row>
    <row r="9" ht="13.15" customFormat="1" customHeight="1" s="334"/>
    <row r="10" ht="27" customHeight="1" s="321">
      <c r="A10" s="368" t="inlineStr">
        <is>
          <t>№ пп.</t>
        </is>
      </c>
      <c r="B10" s="368" t="inlineStr">
        <is>
          <t>Код ресурса</t>
        </is>
      </c>
      <c r="C10" s="368" t="inlineStr">
        <is>
          <t>Наименование</t>
        </is>
      </c>
      <c r="D10" s="368" t="inlineStr">
        <is>
          <t>Ед. изм.</t>
        </is>
      </c>
      <c r="E10" s="368" t="inlineStr">
        <is>
          <t>Кол-во единиц по проектным данным</t>
        </is>
      </c>
      <c r="F10" s="368" t="inlineStr">
        <is>
          <t>Сметная стоимость в ценах на 01.01.2000 (руб.)</t>
        </is>
      </c>
      <c r="G10" s="430" t="n"/>
      <c r="H10" s="368" t="inlineStr">
        <is>
          <t>Удельный вес, %</t>
        </is>
      </c>
      <c r="I10" s="368" t="inlineStr">
        <is>
          <t>Сметная стоимость в ценах на 01.01.2023 (руб.)</t>
        </is>
      </c>
      <c r="J10" s="430" t="n"/>
      <c r="K10" s="337" t="n"/>
      <c r="L10" s="337" t="n"/>
      <c r="M10" s="337" t="n"/>
      <c r="N10" s="337" t="n"/>
    </row>
    <row r="11" ht="28.5" customHeight="1" s="321">
      <c r="A11" s="432" t="n"/>
      <c r="B11" s="432" t="n"/>
      <c r="C11" s="432" t="n"/>
      <c r="D11" s="432" t="n"/>
      <c r="E11" s="432" t="n"/>
      <c r="F11" s="368" t="inlineStr">
        <is>
          <t>на ед. изм.</t>
        </is>
      </c>
      <c r="G11" s="368" t="inlineStr">
        <is>
          <t>общая</t>
        </is>
      </c>
      <c r="H11" s="432" t="n"/>
      <c r="I11" s="368" t="inlineStr">
        <is>
          <t>на ед. изм.</t>
        </is>
      </c>
      <c r="J11" s="368" t="inlineStr">
        <is>
          <t>общая</t>
        </is>
      </c>
      <c r="K11" s="337" t="n"/>
      <c r="L11" s="337" t="n"/>
      <c r="M11" s="337" t="n"/>
      <c r="N11" s="337" t="n"/>
    </row>
    <row r="12" s="321">
      <c r="A12" s="368" t="n">
        <v>1</v>
      </c>
      <c r="B12" s="368" t="n">
        <v>2</v>
      </c>
      <c r="C12" s="368" t="n">
        <v>3</v>
      </c>
      <c r="D12" s="368" t="n">
        <v>4</v>
      </c>
      <c r="E12" s="368" t="n">
        <v>5</v>
      </c>
      <c r="F12" s="368" t="n">
        <v>6</v>
      </c>
      <c r="G12" s="368" t="n">
        <v>7</v>
      </c>
      <c r="H12" s="368" t="n">
        <v>8</v>
      </c>
      <c r="I12" s="376" t="n">
        <v>9</v>
      </c>
      <c r="J12" s="376" t="n">
        <v>10</v>
      </c>
      <c r="K12" s="337" t="n"/>
      <c r="L12" s="337" t="n"/>
      <c r="M12" s="337" t="n"/>
      <c r="N12" s="337" t="n"/>
    </row>
    <row r="13">
      <c r="A13" s="368" t="n"/>
      <c r="B13" s="372" t="inlineStr">
        <is>
          <t>Затраты труда рабочих-строителей</t>
        </is>
      </c>
      <c r="C13" s="429" t="n"/>
      <c r="D13" s="429" t="n"/>
      <c r="E13" s="429" t="n"/>
      <c r="F13" s="429" t="n"/>
      <c r="G13" s="429" t="n"/>
      <c r="H13" s="430" t="n"/>
      <c r="I13" s="232" t="n"/>
      <c r="J13" s="232" t="n"/>
    </row>
    <row r="14" ht="25.5" customHeight="1" s="321">
      <c r="A14" s="368" t="n">
        <v>1</v>
      </c>
      <c r="B14" s="307" t="inlineStr">
        <is>
          <t>1-4-0</t>
        </is>
      </c>
      <c r="C14" s="367" t="inlineStr">
        <is>
          <t>Затраты труда рабочих-строителей среднего разряда (4,0)</t>
        </is>
      </c>
      <c r="D14" s="368" t="inlineStr">
        <is>
          <t>чел.-ч.</t>
        </is>
      </c>
      <c r="E14" s="301">
        <f>G14/F14</f>
        <v/>
      </c>
      <c r="F14" s="295" t="n">
        <v>9.619999999999999</v>
      </c>
      <c r="G14" s="295">
        <f>SUM(Прил.3!H13:H13)</f>
        <v/>
      </c>
      <c r="H14" s="269">
        <f>G14/G15</f>
        <v/>
      </c>
      <c r="I14" s="295">
        <f>ФОТр.тек.!E13</f>
        <v/>
      </c>
      <c r="J14" s="295">
        <f>ROUND(I14*E14,2)</f>
        <v/>
      </c>
    </row>
    <row r="15" ht="25.5" customFormat="1" customHeight="1" s="337">
      <c r="A15" s="368" t="n"/>
      <c r="B15" s="368" t="n"/>
      <c r="C15" s="372" t="inlineStr">
        <is>
          <t>Итого по разделу "Затраты труда рабочих-строителей"</t>
        </is>
      </c>
      <c r="D15" s="368" t="inlineStr">
        <is>
          <t>чел.-ч.</t>
        </is>
      </c>
      <c r="E15" s="301">
        <f>SUM(E14:E14)</f>
        <v/>
      </c>
      <c r="F15" s="295" t="n"/>
      <c r="G15" s="295">
        <f>SUM(G14:G14)</f>
        <v/>
      </c>
      <c r="H15" s="371" t="n">
        <v>1</v>
      </c>
      <c r="I15" s="232" t="n"/>
      <c r="J15" s="295">
        <f>SUM(J14:J14)</f>
        <v/>
      </c>
    </row>
    <row r="16" ht="14.25" customFormat="1" customHeight="1" s="337">
      <c r="A16" s="368" t="n"/>
      <c r="B16" s="367" t="inlineStr">
        <is>
          <t>Затраты труда машинистов</t>
        </is>
      </c>
      <c r="C16" s="429" t="n"/>
      <c r="D16" s="429" t="n"/>
      <c r="E16" s="429" t="n"/>
      <c r="F16" s="429" t="n"/>
      <c r="G16" s="429" t="n"/>
      <c r="H16" s="430" t="n"/>
      <c r="I16" s="232" t="n"/>
      <c r="J16" s="232" t="n"/>
    </row>
    <row r="17" ht="14.25" customFormat="1" customHeight="1" s="337">
      <c r="A17" s="368" t="n">
        <v>2</v>
      </c>
      <c r="B17" s="368" t="n">
        <v>2</v>
      </c>
      <c r="C17" s="367" t="inlineStr">
        <is>
          <t>Затраты труда машинистов</t>
        </is>
      </c>
      <c r="D17" s="368" t="inlineStr">
        <is>
          <t>чел.-ч.</t>
        </is>
      </c>
      <c r="E17" s="219">
        <f>Прил.3!F15</f>
        <v/>
      </c>
      <c r="F17" s="295">
        <f>G17/E17</f>
        <v/>
      </c>
      <c r="G17" s="295">
        <f>Прил.3!H15</f>
        <v/>
      </c>
      <c r="H17" s="371" t="n">
        <v>1</v>
      </c>
      <c r="I17" s="295">
        <f>ROUND(F17*Прил.10!D11,2)</f>
        <v/>
      </c>
      <c r="J17" s="295">
        <f>ROUND(I17*E17,2)</f>
        <v/>
      </c>
    </row>
    <row r="18" ht="14.25" customFormat="1" customHeight="1" s="337">
      <c r="A18" s="368" t="n"/>
      <c r="B18" s="372" t="inlineStr">
        <is>
          <t>Машины и механизмы</t>
        </is>
      </c>
      <c r="C18" s="429" t="n"/>
      <c r="D18" s="429" t="n"/>
      <c r="E18" s="429" t="n"/>
      <c r="F18" s="429" t="n"/>
      <c r="G18" s="429" t="n"/>
      <c r="H18" s="430" t="n"/>
      <c r="I18" s="232" t="n"/>
      <c r="J18" s="232" t="n"/>
    </row>
    <row r="19" ht="14.25" customFormat="1" customHeight="1" s="337">
      <c r="A19" s="368" t="n"/>
      <c r="B19" s="367" t="inlineStr">
        <is>
          <t>Основные машины и механизмы</t>
        </is>
      </c>
      <c r="C19" s="429" t="n"/>
      <c r="D19" s="429" t="n"/>
      <c r="E19" s="429" t="n"/>
      <c r="F19" s="429" t="n"/>
      <c r="G19" s="429" t="n"/>
      <c r="H19" s="430" t="n"/>
      <c r="I19" s="232" t="n"/>
      <c r="J19" s="232" t="n"/>
    </row>
    <row r="20" ht="25.5" customFormat="1" customHeight="1" s="337">
      <c r="A20" s="368" t="n">
        <v>3</v>
      </c>
      <c r="B20" s="307" t="inlineStr">
        <is>
          <t>91.06.03-058</t>
        </is>
      </c>
      <c r="C20" s="367" t="inlineStr">
        <is>
          <t>Лебедки электрические тяговым усилием 156,96 кН (16 т)</t>
        </is>
      </c>
      <c r="D20" s="368" t="inlineStr">
        <is>
          <t>маш.час</t>
        </is>
      </c>
      <c r="E20" s="219" t="n">
        <v>0.5</v>
      </c>
      <c r="F20" s="370" t="n">
        <v>131.44</v>
      </c>
      <c r="G20" s="295">
        <f>ROUND(E20*F20,2)</f>
        <v/>
      </c>
      <c r="H20" s="269">
        <f>G20/$G$26</f>
        <v/>
      </c>
      <c r="I20" s="295">
        <f>ROUND(F20*Прил.10!D12,2)</f>
        <v/>
      </c>
      <c r="J20" s="295">
        <f>ROUND(I20*E20,2)</f>
        <v/>
      </c>
    </row>
    <row r="21" ht="25.5" customFormat="1" customHeight="1" s="337">
      <c r="A21" s="368" t="n">
        <v>4</v>
      </c>
      <c r="B21" s="307" t="inlineStr">
        <is>
          <t>91.05.05-015</t>
        </is>
      </c>
      <c r="C21" s="367" t="inlineStr">
        <is>
          <t>Краны на автомобильном ходу, грузоподъемность 16 т</t>
        </is>
      </c>
      <c r="D21" s="368" t="inlineStr">
        <is>
          <t>маш.час</t>
        </is>
      </c>
      <c r="E21" s="219" t="n">
        <v>0.15</v>
      </c>
      <c r="F21" s="370" t="n">
        <v>115.4</v>
      </c>
      <c r="G21" s="295">
        <f>ROUND(E21*F21,2)</f>
        <v/>
      </c>
      <c r="H21" s="269">
        <f>G21/$G$26</f>
        <v/>
      </c>
      <c r="I21" s="295">
        <f>ROUND(F21*Прил.10!D12,2)</f>
        <v/>
      </c>
      <c r="J21" s="295">
        <f>ROUND(I21*E21,2)</f>
        <v/>
      </c>
    </row>
    <row r="22" ht="14.25" customFormat="1" customHeight="1" s="337">
      <c r="A22" s="368" t="n"/>
      <c r="B22" s="368" t="n"/>
      <c r="C22" s="367" t="inlineStr">
        <is>
          <t>Итого основные машины и механизмы</t>
        </is>
      </c>
      <c r="D22" s="368" t="n"/>
      <c r="E22" s="219" t="n"/>
      <c r="F22" s="295" t="n"/>
      <c r="G22" s="295">
        <f>SUM(G20:G21)</f>
        <v/>
      </c>
      <c r="H22" s="371">
        <f>G22/G26</f>
        <v/>
      </c>
      <c r="I22" s="233" t="n"/>
      <c r="J22" s="295">
        <f>SUM(J20:J21)</f>
        <v/>
      </c>
    </row>
    <row r="23" outlineLevel="1" ht="25.5" customFormat="1" customHeight="1" s="337">
      <c r="A23" s="368" t="n">
        <v>5</v>
      </c>
      <c r="B23" s="307" t="inlineStr">
        <is>
          <t>91.14.02-001</t>
        </is>
      </c>
      <c r="C23" s="367" t="inlineStr">
        <is>
          <t>Автомобили бортовые, грузоподъемность до 5 т</t>
        </is>
      </c>
      <c r="D23" s="368" t="inlineStr">
        <is>
          <t>маш.час</t>
        </is>
      </c>
      <c r="E23" s="219" t="n">
        <v>0.15</v>
      </c>
      <c r="F23" s="370" t="n">
        <v>65.70999999999999</v>
      </c>
      <c r="G23" s="295">
        <f>ROUND(E23*F23,2)</f>
        <v/>
      </c>
      <c r="H23" s="269">
        <f>G23/$G$26</f>
        <v/>
      </c>
      <c r="I23" s="382">
        <f>ROUND(F23*Прил.10!$D$12,2)</f>
        <v/>
      </c>
      <c r="J23" s="295">
        <f>ROUND(I23*E23,2)</f>
        <v/>
      </c>
    </row>
    <row r="24" outlineLevel="1" ht="25.5" customFormat="1" customHeight="1" s="337">
      <c r="A24" s="368" t="n">
        <v>6</v>
      </c>
      <c r="B24" s="307" t="inlineStr">
        <is>
          <t>91.06.06-042</t>
        </is>
      </c>
      <c r="C24" s="367" t="inlineStr">
        <is>
          <t>Подъемники гидравлические, высота подъема 10 м</t>
        </is>
      </c>
      <c r="D24" s="368" t="inlineStr">
        <is>
          <t>маш.час</t>
        </is>
      </c>
      <c r="E24" s="219" t="n">
        <v>0.05</v>
      </c>
      <c r="F24" s="370" t="n">
        <v>29.6</v>
      </c>
      <c r="G24" s="295">
        <f>ROUND(E24*F24,2)</f>
        <v/>
      </c>
      <c r="H24" s="269">
        <f>G24/$G$26</f>
        <v/>
      </c>
      <c r="I24" s="382">
        <f>ROUND(F24*Прил.10!$D$12,2)</f>
        <v/>
      </c>
      <c r="J24" s="295">
        <f>ROUND(I24*E24,2)</f>
        <v/>
      </c>
    </row>
    <row r="25" ht="14.25" customFormat="1" customHeight="1" s="337">
      <c r="A25" s="368" t="n"/>
      <c r="B25" s="368" t="n"/>
      <c r="C25" s="367" t="inlineStr">
        <is>
          <t>Итого прочие машины и механизмы</t>
        </is>
      </c>
      <c r="D25" s="368" t="n"/>
      <c r="E25" s="369" t="n"/>
      <c r="F25" s="295" t="n"/>
      <c r="G25" s="233">
        <f>SUM(G23:G24)</f>
        <v/>
      </c>
      <c r="H25" s="269">
        <f>G25/G26</f>
        <v/>
      </c>
      <c r="I25" s="295" t="n"/>
      <c r="J25" s="295">
        <f>SUM(J23:J24)</f>
        <v/>
      </c>
    </row>
    <row r="26" ht="25.5" customFormat="1" customHeight="1" s="337">
      <c r="A26" s="368" t="n"/>
      <c r="B26" s="368" t="n"/>
      <c r="C26" s="372" t="inlineStr">
        <is>
          <t>Итого по разделу «Машины и механизмы»</t>
        </is>
      </c>
      <c r="D26" s="368" t="n"/>
      <c r="E26" s="369" t="n"/>
      <c r="F26" s="295" t="n"/>
      <c r="G26" s="295">
        <f>G25+G22</f>
        <v/>
      </c>
      <c r="H26" s="226" t="n">
        <v>1</v>
      </c>
      <c r="I26" s="227" t="n"/>
      <c r="J26" s="228">
        <f>J25+J22</f>
        <v/>
      </c>
    </row>
    <row r="27" ht="30" customHeight="1" s="321">
      <c r="A27" s="368" t="n"/>
      <c r="B27" s="372" t="inlineStr">
        <is>
          <t xml:space="preserve">Оборудование </t>
        </is>
      </c>
      <c r="C27" s="429" t="n"/>
      <c r="D27" s="429" t="n"/>
      <c r="E27" s="429" t="n"/>
      <c r="F27" s="429" t="n"/>
      <c r="G27" s="429" t="n"/>
      <c r="H27" s="429" t="n"/>
      <c r="I27" s="429" t="n"/>
      <c r="J27" s="430" t="n"/>
      <c r="K27" s="337" t="n"/>
      <c r="L27" s="337" t="n"/>
    </row>
    <row r="28">
      <c r="A28" s="368" t="n"/>
      <c r="B28" s="367" t="inlineStr">
        <is>
          <t>Основное оборудование</t>
        </is>
      </c>
      <c r="C28" s="429" t="n"/>
      <c r="D28" s="429" t="n"/>
      <c r="E28" s="429" t="n"/>
      <c r="F28" s="429" t="n"/>
      <c r="G28" s="429" t="n"/>
      <c r="H28" s="430" t="n"/>
      <c r="I28" s="232" t="n"/>
      <c r="J28" s="232" t="n"/>
      <c r="K28" s="337" t="n"/>
      <c r="L28" s="337" t="n"/>
    </row>
    <row r="29">
      <c r="A29" s="368" t="n"/>
      <c r="B29" s="368" t="n"/>
      <c r="C29" s="367" t="inlineStr">
        <is>
          <t>Итого основное оборудование</t>
        </is>
      </c>
      <c r="D29" s="368" t="n"/>
      <c r="E29" s="219" t="n"/>
      <c r="F29" s="370" t="n"/>
      <c r="G29" s="295" t="n">
        <v>0</v>
      </c>
      <c r="H29" s="371" t="n">
        <v>0</v>
      </c>
      <c r="I29" s="233" t="n"/>
      <c r="J29" s="295" t="n">
        <v>0</v>
      </c>
      <c r="K29" s="337" t="n"/>
      <c r="L29" s="337" t="n"/>
    </row>
    <row r="30">
      <c r="A30" s="368" t="n"/>
      <c r="B30" s="368" t="n"/>
      <c r="C30" s="367" t="inlineStr">
        <is>
          <t>Итого прочее оборудование</t>
        </is>
      </c>
      <c r="D30" s="368" t="n"/>
      <c r="E30" s="219" t="n"/>
      <c r="F30" s="370" t="n"/>
      <c r="G30" s="295" t="n">
        <v>0</v>
      </c>
      <c r="H30" s="371" t="n">
        <v>0</v>
      </c>
      <c r="I30" s="233" t="n"/>
      <c r="J30" s="295" t="n">
        <v>0</v>
      </c>
      <c r="K30" s="337" t="n"/>
      <c r="L30" s="337" t="n"/>
    </row>
    <row r="31">
      <c r="A31" s="368" t="n"/>
      <c r="B31" s="368" t="n"/>
      <c r="C31" s="372" t="inlineStr">
        <is>
          <t>Итого по разделу «Оборудование»</t>
        </is>
      </c>
      <c r="D31" s="368" t="n"/>
      <c r="E31" s="369" t="n"/>
      <c r="F31" s="370" t="n"/>
      <c r="G31" s="295">
        <f>G29+G30</f>
        <v/>
      </c>
      <c r="H31" s="371" t="n">
        <v>0</v>
      </c>
      <c r="I31" s="233" t="n"/>
      <c r="J31" s="295">
        <f>J30+J29</f>
        <v/>
      </c>
      <c r="K31" s="337" t="n"/>
      <c r="L31" s="337" t="n"/>
    </row>
    <row r="32" ht="25.5" customHeight="1" s="321">
      <c r="A32" s="368" t="n"/>
      <c r="B32" s="368" t="n"/>
      <c r="C32" s="367" t="inlineStr">
        <is>
          <t>в том числе технологическое оборудование</t>
        </is>
      </c>
      <c r="D32" s="368" t="n"/>
      <c r="E32" s="234" t="n"/>
      <c r="F32" s="370" t="n"/>
      <c r="G32" s="295">
        <f>G31</f>
        <v/>
      </c>
      <c r="H32" s="371" t="n"/>
      <c r="I32" s="233" t="n"/>
      <c r="J32" s="295">
        <f>J31</f>
        <v/>
      </c>
      <c r="K32" s="337" t="n"/>
      <c r="L32" s="337" t="n"/>
    </row>
    <row r="33" ht="31.5" customFormat="1" customHeight="1" s="337">
      <c r="A33" s="368" t="n"/>
      <c r="B33" s="372" t="inlineStr">
        <is>
          <t xml:space="preserve">Материалы  </t>
        </is>
      </c>
      <c r="C33" s="429" t="n"/>
      <c r="D33" s="429" t="n"/>
      <c r="E33" s="429" t="n"/>
      <c r="F33" s="429" t="n"/>
      <c r="G33" s="429" t="n"/>
      <c r="H33" s="429" t="n"/>
      <c r="I33" s="429" t="n"/>
      <c r="J33" s="430" t="n"/>
    </row>
    <row r="34" ht="14.25" customFormat="1" customHeight="1" s="337">
      <c r="A34" s="368" t="n"/>
      <c r="B34" s="367" t="inlineStr">
        <is>
          <t>Основные материалы</t>
        </is>
      </c>
      <c r="C34" s="429" t="n"/>
      <c r="D34" s="429" t="n"/>
      <c r="E34" s="429" t="n"/>
      <c r="F34" s="429" t="n"/>
      <c r="G34" s="429" t="n"/>
      <c r="H34" s="430" t="n"/>
      <c r="I34" s="232" t="n"/>
      <c r="J34" s="232" t="n"/>
    </row>
    <row r="35" ht="34.9" customFormat="1" customHeight="1" s="337">
      <c r="A35" s="368" t="n">
        <v>7</v>
      </c>
      <c r="B35" s="307" t="inlineStr">
        <is>
          <t>22.2.01.03-0003</t>
        </is>
      </c>
      <c r="C35" s="367" t="inlineStr">
        <is>
          <t>Изолятор подвесной стеклянный ПСД-70Е</t>
        </is>
      </c>
      <c r="D35" s="368" t="inlineStr">
        <is>
          <t>шт</t>
        </is>
      </c>
      <c r="E35" s="219" t="n">
        <v>5</v>
      </c>
      <c r="F35" s="370" t="n">
        <v>169.25</v>
      </c>
      <c r="G35" s="295">
        <f>ROUND(E35*F35,2)</f>
        <v/>
      </c>
      <c r="H35" s="269">
        <f>G35/$G$47</f>
        <v/>
      </c>
      <c r="I35" s="295">
        <f>ROUND(F35*Прил.10!$D$13,2)</f>
        <v/>
      </c>
      <c r="J35" s="295">
        <f>ROUND(I35*E35,2)</f>
        <v/>
      </c>
    </row>
    <row r="36" ht="14.25" customFormat="1" customHeight="1" s="337">
      <c r="A36" s="368" t="n">
        <v>8</v>
      </c>
      <c r="B36" s="307" t="inlineStr">
        <is>
          <t>20.5.04.04-0052</t>
        </is>
      </c>
      <c r="C36" s="367" t="inlineStr">
        <is>
          <t>Зажим натяжной спиральный НС-15,2-02</t>
        </is>
      </c>
      <c r="D36" s="368" t="inlineStr">
        <is>
          <t>шт</t>
        </is>
      </c>
      <c r="E36" s="219" t="n">
        <v>1</v>
      </c>
      <c r="F36" s="370" t="n">
        <v>484.94</v>
      </c>
      <c r="G36" s="295">
        <f>ROUND(E36*F36,2)</f>
        <v/>
      </c>
      <c r="H36" s="269">
        <f>G36/$G$47</f>
        <v/>
      </c>
      <c r="I36" s="295">
        <f>ROUND(F36*Прил.10!$D$13,2)</f>
        <v/>
      </c>
      <c r="J36" s="295">
        <f>ROUND(I36*E36,2)</f>
        <v/>
      </c>
    </row>
    <row r="37" ht="25.5" customFormat="1" customHeight="1" s="337">
      <c r="A37" s="368" t="n">
        <v>9</v>
      </c>
      <c r="B37" s="307" t="inlineStr">
        <is>
          <t>22.2.02.04-0035</t>
        </is>
      </c>
      <c r="C37" s="367" t="inlineStr">
        <is>
          <t>Звено промежуточное регулируемое ПРР-7-1</t>
        </is>
      </c>
      <c r="D37" s="368" t="inlineStr">
        <is>
          <t>шт</t>
        </is>
      </c>
      <c r="E37" s="219" t="n">
        <v>1</v>
      </c>
      <c r="F37" s="370" t="n">
        <v>121.66</v>
      </c>
      <c r="G37" s="295">
        <f>ROUND(E37*F37,2)</f>
        <v/>
      </c>
      <c r="H37" s="269">
        <f>G37/$G$47</f>
        <v/>
      </c>
      <c r="I37" s="295">
        <f>ROUND(F37*Прил.10!$D$13,2)</f>
        <v/>
      </c>
      <c r="J37" s="295">
        <f>ROUND(I37*E37,2)</f>
        <v/>
      </c>
    </row>
    <row r="38" ht="14.25" customFormat="1" customHeight="1" s="337">
      <c r="A38" s="368" t="n"/>
      <c r="B38" s="368" t="n"/>
      <c r="C38" s="367" t="inlineStr">
        <is>
          <t>Итого основные материалы</t>
        </is>
      </c>
      <c r="D38" s="368" t="n"/>
      <c r="E38" s="219" t="n"/>
      <c r="F38" s="370" t="n"/>
      <c r="G38" s="295">
        <f>SUM(G35:G37)</f>
        <v/>
      </c>
      <c r="H38" s="371">
        <f>G38/$G$47</f>
        <v/>
      </c>
      <c r="I38" s="233" t="n"/>
      <c r="J38" s="295">
        <f>SUM(J35:J37)</f>
        <v/>
      </c>
    </row>
    <row r="39" outlineLevel="1" ht="14.25" customFormat="1" customHeight="1" s="337">
      <c r="A39" s="368" t="n">
        <v>10</v>
      </c>
      <c r="B39" s="307" t="inlineStr">
        <is>
          <t>01.7.15.10-0001</t>
        </is>
      </c>
      <c r="C39" s="367" t="inlineStr">
        <is>
          <t>Скобы длинные СКД-10-1</t>
        </is>
      </c>
      <c r="D39" s="368" t="inlineStr">
        <is>
          <t>шт</t>
        </is>
      </c>
      <c r="E39" s="219" t="n">
        <v>1</v>
      </c>
      <c r="F39" s="370" t="n">
        <v>45.18</v>
      </c>
      <c r="G39" s="295">
        <f>ROUND(E39*F39,2)</f>
        <v/>
      </c>
      <c r="H39" s="269">
        <f>G39/$G$47</f>
        <v/>
      </c>
      <c r="I39" s="295">
        <f>ROUND(F39*Прил.10!$D$13,2)</f>
        <v/>
      </c>
      <c r="J39" s="295">
        <f>ROUND(I39*E39,2)</f>
        <v/>
      </c>
    </row>
    <row r="40" outlineLevel="1" ht="14.25" customFormat="1" customHeight="1" s="337">
      <c r="A40" s="368" t="n">
        <v>11</v>
      </c>
      <c r="B40" s="307" t="inlineStr">
        <is>
          <t>20.1.02.22-0005</t>
        </is>
      </c>
      <c r="C40" s="367" t="inlineStr">
        <is>
          <t>Ушко: однолапчатое У1-7-16</t>
        </is>
      </c>
      <c r="D40" s="368" t="inlineStr">
        <is>
          <t>шт</t>
        </is>
      </c>
      <c r="E40" s="219" t="n">
        <v>1</v>
      </c>
      <c r="F40" s="370" t="n">
        <v>39.32</v>
      </c>
      <c r="G40" s="295">
        <f>ROUND(E40*F40,2)</f>
        <v/>
      </c>
      <c r="H40" s="269">
        <f>G40/$G$47</f>
        <v/>
      </c>
      <c r="I40" s="295">
        <f>ROUND(F40*Прил.10!$D$13,2)</f>
        <v/>
      </c>
      <c r="J40" s="295">
        <f>ROUND(I40*E40,2)</f>
        <v/>
      </c>
    </row>
    <row r="41" outlineLevel="1" ht="25.5" customFormat="1" customHeight="1" s="337">
      <c r="A41" s="368" t="n">
        <v>12</v>
      </c>
      <c r="B41" s="307" t="inlineStr">
        <is>
          <t>22.2.02.04-0041</t>
        </is>
      </c>
      <c r="C41" s="367" t="inlineStr">
        <is>
          <t>Звено промежуточное трехлапчатое ПРТ-7-1</t>
        </is>
      </c>
      <c r="D41" s="368" t="inlineStr">
        <is>
          <t>шт</t>
        </is>
      </c>
      <c r="E41" s="219" t="n">
        <v>1</v>
      </c>
      <c r="F41" s="370" t="n">
        <v>36.42</v>
      </c>
      <c r="G41" s="295">
        <f>ROUND(E41*F41,2)</f>
        <v/>
      </c>
      <c r="H41" s="269">
        <f>G41/$G$47</f>
        <v/>
      </c>
      <c r="I41" s="295">
        <f>ROUND(F41*Прил.10!$D$13,2)</f>
        <v/>
      </c>
      <c r="J41" s="295">
        <f>ROUND(I41*E41,2)</f>
        <v/>
      </c>
    </row>
    <row r="42" outlineLevel="1" ht="14.25" customFormat="1" customHeight="1" s="337">
      <c r="A42" s="368" t="n">
        <v>13</v>
      </c>
      <c r="B42" s="307" t="inlineStr">
        <is>
          <t>01.7.15.10-0031</t>
        </is>
      </c>
      <c r="C42" s="367" t="inlineStr">
        <is>
          <t>Скобы СК-7-1А</t>
        </is>
      </c>
      <c r="D42" s="368" t="inlineStr">
        <is>
          <t>шт</t>
        </is>
      </c>
      <c r="E42" s="219" t="n">
        <v>1</v>
      </c>
      <c r="F42" s="370" t="n">
        <v>28.07</v>
      </c>
      <c r="G42" s="295">
        <f>ROUND(E42*F42,2)</f>
        <v/>
      </c>
      <c r="H42" s="269">
        <f>G42/$G$47</f>
        <v/>
      </c>
      <c r="I42" s="295">
        <f>ROUND(F42*Прил.10!$D$13,2)</f>
        <v/>
      </c>
      <c r="J42" s="295">
        <f>ROUND(I42*E42,2)</f>
        <v/>
      </c>
    </row>
    <row r="43" outlineLevel="1" ht="30" customFormat="1" customHeight="1" s="337">
      <c r="A43" s="368" t="n">
        <v>14</v>
      </c>
      <c r="B43" s="307" t="inlineStr">
        <is>
          <t>22.2.02.04-0005</t>
        </is>
      </c>
      <c r="C43" s="367" t="inlineStr">
        <is>
          <t>Звено промежуточное монтажное ПТМ-7-2</t>
        </is>
      </c>
      <c r="D43" s="368" t="inlineStr">
        <is>
          <t>шт</t>
        </is>
      </c>
      <c r="E43" s="219" t="n">
        <v>1</v>
      </c>
      <c r="F43" s="370" t="n">
        <v>25.36</v>
      </c>
      <c r="G43" s="295">
        <f>ROUND(E43*F43,2)</f>
        <v/>
      </c>
      <c r="H43" s="269">
        <f>G43/$G$47</f>
        <v/>
      </c>
      <c r="I43" s="295">
        <f>ROUND(F43*Прил.10!$D$13,2)</f>
        <v/>
      </c>
      <c r="J43" s="295">
        <f>ROUND(I43*E43,2)</f>
        <v/>
      </c>
    </row>
    <row r="44" outlineLevel="1" ht="30" customFormat="1" customHeight="1" s="337">
      <c r="A44" s="368" t="n">
        <v>15</v>
      </c>
      <c r="B44" s="307" t="inlineStr">
        <is>
          <t>20.1.02.14-1014</t>
        </is>
      </c>
      <c r="C44" s="367" t="inlineStr">
        <is>
          <t>Серьга СР-7-16</t>
        </is>
      </c>
      <c r="D44" s="368" t="inlineStr">
        <is>
          <t>шт</t>
        </is>
      </c>
      <c r="E44" s="219" t="n">
        <v>1</v>
      </c>
      <c r="F44" s="370" t="n">
        <v>9.359999999999999</v>
      </c>
      <c r="G44" s="295">
        <f>ROUND(E44*F44,2)</f>
        <v/>
      </c>
      <c r="H44" s="269">
        <f>G44/$G$47</f>
        <v/>
      </c>
      <c r="I44" s="295">
        <f>ROUND(F44*Прил.10!$D$13,2)</f>
        <v/>
      </c>
      <c r="J44" s="295">
        <f>ROUND(I44*E44,2)</f>
        <v/>
      </c>
    </row>
    <row r="45" outlineLevel="1" ht="25.5" customFormat="1" customHeight="1" s="337">
      <c r="A45" s="368" t="n">
        <v>16</v>
      </c>
      <c r="B45" s="307" t="inlineStr">
        <is>
          <t>999-9950</t>
        </is>
      </c>
      <c r="C45" s="367" t="inlineStr">
        <is>
          <t>Вспомогательные ненормируемые ресурсы (2% от Оплаты труда рабочих)</t>
        </is>
      </c>
      <c r="D45" s="368" t="inlineStr">
        <is>
          <t>руб</t>
        </is>
      </c>
      <c r="E45" s="219" t="n">
        <v>0.5964</v>
      </c>
      <c r="F45" s="370" t="n">
        <v>1</v>
      </c>
      <c r="G45" s="295">
        <f>ROUND(E45*F45,2)</f>
        <v/>
      </c>
      <c r="H45" s="269">
        <f>G45/$G$47</f>
        <v/>
      </c>
      <c r="I45" s="295">
        <f>ROUND(F45*Прил.10!$D$13,2)</f>
        <v/>
      </c>
      <c r="J45" s="295">
        <f>ROUND(I45*E45,2)</f>
        <v/>
      </c>
    </row>
    <row r="46" ht="14.25" customFormat="1" customHeight="1" s="337">
      <c r="A46" s="368" t="n"/>
      <c r="B46" s="368" t="n"/>
      <c r="C46" s="367" t="inlineStr">
        <is>
          <t>Итого прочие материалы</t>
        </is>
      </c>
      <c r="D46" s="368" t="n"/>
      <c r="E46" s="369" t="n"/>
      <c r="F46" s="370" t="n"/>
      <c r="G46" s="295">
        <f>SUM(G39:G45)</f>
        <v/>
      </c>
      <c r="H46" s="371">
        <f>G46/G47</f>
        <v/>
      </c>
      <c r="I46" s="295" t="n"/>
      <c r="J46" s="295">
        <f>SUM(J39:J45)</f>
        <v/>
      </c>
    </row>
    <row r="47" ht="14.25" customFormat="1" customHeight="1" s="337">
      <c r="A47" s="368" t="n"/>
      <c r="B47" s="368" t="n"/>
      <c r="C47" s="372" t="inlineStr">
        <is>
          <t>Итого по разделу «Материалы»</t>
        </is>
      </c>
      <c r="D47" s="368" t="n"/>
      <c r="E47" s="369" t="n"/>
      <c r="F47" s="370" t="n"/>
      <c r="G47" s="295">
        <f>G38+G46</f>
        <v/>
      </c>
      <c r="H47" s="371" t="n">
        <v>1</v>
      </c>
      <c r="I47" s="295" t="n"/>
      <c r="J47" s="295">
        <f>J38+J46</f>
        <v/>
      </c>
    </row>
    <row r="48" ht="14.25" customFormat="1" customHeight="1" s="337">
      <c r="A48" s="368" t="n"/>
      <c r="B48" s="368" t="n"/>
      <c r="C48" s="367" t="inlineStr">
        <is>
          <t>ИТОГО ПО РМ</t>
        </is>
      </c>
      <c r="D48" s="368" t="n"/>
      <c r="E48" s="369" t="n"/>
      <c r="F48" s="370" t="n"/>
      <c r="G48" s="295">
        <f>G15+G26+G47</f>
        <v/>
      </c>
      <c r="H48" s="371" t="n"/>
      <c r="I48" s="295" t="n"/>
      <c r="J48" s="295">
        <f>J15+J26+J47</f>
        <v/>
      </c>
    </row>
    <row r="49" ht="14.25" customFormat="1" customHeight="1" s="337">
      <c r="A49" s="368" t="n"/>
      <c r="B49" s="368" t="n"/>
      <c r="C49" s="367" t="inlineStr">
        <is>
          <t>Накладные расходы</t>
        </is>
      </c>
      <c r="D49" s="235">
        <f>ROUND(G49/(G$17+$G$15),2)</f>
        <v/>
      </c>
      <c r="E49" s="369" t="n"/>
      <c r="F49" s="370" t="n"/>
      <c r="G49" s="295" t="n">
        <v>38.69</v>
      </c>
      <c r="H49" s="371" t="n"/>
      <c r="I49" s="295" t="n"/>
      <c r="J49" s="295">
        <f>ROUND(D49*(J15+J17),2)</f>
        <v/>
      </c>
    </row>
    <row r="50" ht="14.25" customFormat="1" customHeight="1" s="337">
      <c r="A50" s="368" t="n"/>
      <c r="B50" s="368" t="n"/>
      <c r="C50" s="367" t="inlineStr">
        <is>
          <t>Сметная прибыль</t>
        </is>
      </c>
      <c r="D50" s="235">
        <f>ROUND(G50/(G$15+G$17),2)</f>
        <v/>
      </c>
      <c r="E50" s="369" t="n"/>
      <c r="F50" s="370" t="n"/>
      <c r="G50" s="295" t="n">
        <v>20.34</v>
      </c>
      <c r="H50" s="371" t="n"/>
      <c r="I50" s="295" t="n"/>
      <c r="J50" s="295">
        <f>ROUND(D50*(J15+J17),2)</f>
        <v/>
      </c>
    </row>
    <row r="51" ht="14.25" customFormat="1" customHeight="1" s="337">
      <c r="A51" s="368" t="n"/>
      <c r="B51" s="368" t="n"/>
      <c r="C51" s="367" t="inlineStr">
        <is>
          <t>Итого СМР (с НР и СП)</t>
        </is>
      </c>
      <c r="D51" s="368" t="n"/>
      <c r="E51" s="369" t="n"/>
      <c r="F51" s="370" t="n"/>
      <c r="G51" s="295">
        <f>G15+G26+G47+G49+G50</f>
        <v/>
      </c>
      <c r="H51" s="371" t="n"/>
      <c r="I51" s="295" t="n"/>
      <c r="J51" s="295">
        <f>J15+J26+J47+J49+J50</f>
        <v/>
      </c>
    </row>
    <row r="52" ht="14.25" customFormat="1" customHeight="1" s="337">
      <c r="A52" s="368" t="n"/>
      <c r="B52" s="368" t="n"/>
      <c r="C52" s="367" t="inlineStr">
        <is>
          <t>ВСЕГО СМР + ОБОРУДОВАНИЕ</t>
        </is>
      </c>
      <c r="D52" s="368" t="n"/>
      <c r="E52" s="369" t="n"/>
      <c r="F52" s="370" t="n"/>
      <c r="G52" s="295">
        <f>G51+G31</f>
        <v/>
      </c>
      <c r="H52" s="371" t="n"/>
      <c r="I52" s="295" t="n"/>
      <c r="J52" s="295">
        <f>J51+J31</f>
        <v/>
      </c>
    </row>
    <row r="53" ht="34.5" customFormat="1" customHeight="1" s="337">
      <c r="A53" s="368" t="n"/>
      <c r="B53" s="368" t="n"/>
      <c r="C53" s="367" t="inlineStr">
        <is>
          <t>ИТОГО ПОКАЗАТЕЛЬ НА ЕД. ИЗМ.</t>
        </is>
      </c>
      <c r="D53" s="368" t="inlineStr">
        <is>
          <t xml:space="preserve"> км ВЛ</t>
        </is>
      </c>
      <c r="E53" s="369" t="n">
        <v>0.13</v>
      </c>
      <c r="F53" s="370" t="n"/>
      <c r="G53" s="295">
        <f>G52/E53</f>
        <v/>
      </c>
      <c r="H53" s="371" t="n"/>
      <c r="I53" s="295" t="n"/>
      <c r="J53" s="295">
        <f>J52/E53</f>
        <v/>
      </c>
    </row>
    <row r="55" ht="14.25" customFormat="1" customHeight="1" s="337">
      <c r="A55" s="334" t="inlineStr">
        <is>
          <t>Составил ______________________    А.Р. Маркова</t>
        </is>
      </c>
    </row>
    <row r="56" ht="14.25" customFormat="1" customHeight="1" s="337">
      <c r="A56" s="336" t="inlineStr">
        <is>
          <t xml:space="preserve">                         (подпись, инициалы, фамилия)</t>
        </is>
      </c>
    </row>
    <row r="57" ht="14.25" customFormat="1" customHeight="1" s="337">
      <c r="A57" s="334" t="n"/>
    </row>
    <row r="58" ht="14.25" customFormat="1" customHeight="1" s="337">
      <c r="A58" s="334" t="inlineStr">
        <is>
          <t>Проверил ______________________        А.В. Костянецкая</t>
        </is>
      </c>
    </row>
    <row r="59" ht="14.25" customFormat="1" customHeight="1" s="337">
      <c r="A59" s="336" t="inlineStr">
        <is>
          <t xml:space="preserve">                        (подпись, инициалы, фамилия)</t>
        </is>
      </c>
    </row>
  </sheetData>
  <mergeCells count="22">
    <mergeCell ref="F10:G10"/>
    <mergeCell ref="A4:J4"/>
    <mergeCell ref="C10:C11"/>
    <mergeCell ref="H2:J2"/>
    <mergeCell ref="E10:E11"/>
    <mergeCell ref="A7:H7"/>
    <mergeCell ref="B16:H16"/>
    <mergeCell ref="B10:B11"/>
    <mergeCell ref="B33:J33"/>
    <mergeCell ref="B18:H18"/>
    <mergeCell ref="D6:J6"/>
    <mergeCell ref="A10:A11"/>
    <mergeCell ref="A8:H8"/>
    <mergeCell ref="D10:D11"/>
    <mergeCell ref="B13:H13"/>
    <mergeCell ref="I10:J10"/>
    <mergeCell ref="A6:C6"/>
    <mergeCell ref="B27:J27"/>
    <mergeCell ref="B19:H19"/>
    <mergeCell ref="B34:H34"/>
    <mergeCell ref="H10:H11"/>
    <mergeCell ref="B28:H28"/>
  </mergeCells>
  <pageMargins left="0.7086614173228347" right="0.7086614173228347" top="0.7480314960629921" bottom="0.7480314960629921" header="0.3149606299212598" footer="0.3149606299212598"/>
  <pageSetup orientation="landscape" paperSize="9" scale="81" fitToHeight="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workbookViewId="0">
      <selection activeCell="D17" sqref="D17"/>
    </sheetView>
  </sheetViews>
  <sheetFormatPr baseColWidth="8" defaultRowHeight="15"/>
  <cols>
    <col width="5.7109375" customWidth="1" style="321" min="1" max="1"/>
    <col width="17.5703125" customWidth="1" style="321" min="2" max="2"/>
    <col width="39.140625" customWidth="1" style="321" min="3" max="3"/>
    <col width="10.7109375" customWidth="1" style="321" min="4" max="4"/>
    <col width="13.85546875" customWidth="1" style="321" min="5" max="5"/>
    <col width="13.28515625" customWidth="1" style="321" min="6" max="6"/>
    <col width="14.140625" customWidth="1" style="321" min="7" max="7"/>
  </cols>
  <sheetData>
    <row r="1">
      <c r="A1" s="378" t="inlineStr">
        <is>
          <t>Приложение №6</t>
        </is>
      </c>
    </row>
    <row r="2" ht="21.75" customHeight="1" s="321">
      <c r="A2" s="378" t="n"/>
      <c r="B2" s="378" t="n"/>
      <c r="C2" s="378" t="n"/>
      <c r="D2" s="378" t="n"/>
      <c r="E2" s="378" t="n"/>
      <c r="F2" s="378" t="n"/>
      <c r="G2" s="378" t="n"/>
    </row>
    <row r="3">
      <c r="A3" s="339" t="inlineStr">
        <is>
          <t>Расчет стоимости оборудования</t>
        </is>
      </c>
    </row>
    <row r="4" ht="25.5" customHeight="1" s="321">
      <c r="A4" s="342" t="inlineStr">
        <is>
          <t>Наименование разрабатываемого показателя УНЦ - Гирлянды изоляторов ВЛ напряжение 35 кВ</t>
        </is>
      </c>
    </row>
    <row r="5">
      <c r="A5" s="334" t="n"/>
      <c r="B5" s="334" t="n"/>
      <c r="C5" s="334" t="n"/>
      <c r="D5" s="334" t="n"/>
      <c r="E5" s="334" t="n"/>
      <c r="F5" s="334" t="n"/>
      <c r="G5" s="334" t="n"/>
    </row>
    <row r="6" ht="30" customHeight="1" s="321">
      <c r="A6" s="383" t="inlineStr">
        <is>
          <t>№ пп.</t>
        </is>
      </c>
      <c r="B6" s="383" t="inlineStr">
        <is>
          <t>Код ресурса</t>
        </is>
      </c>
      <c r="C6" s="383" t="inlineStr">
        <is>
          <t>Наименование</t>
        </is>
      </c>
      <c r="D6" s="383" t="inlineStr">
        <is>
          <t>Ед. изм.</t>
        </is>
      </c>
      <c r="E6" s="368" t="inlineStr">
        <is>
          <t>Кол-во единиц по проектным данным</t>
        </is>
      </c>
      <c r="F6" s="383" t="inlineStr">
        <is>
          <t>Сметная стоимость в ценах на 01.01.2000 (руб.)</t>
        </is>
      </c>
      <c r="G6" s="430" t="n"/>
    </row>
    <row r="7">
      <c r="A7" s="432" t="n"/>
      <c r="B7" s="432" t="n"/>
      <c r="C7" s="432" t="n"/>
      <c r="D7" s="432" t="n"/>
      <c r="E7" s="432" t="n"/>
      <c r="F7" s="368" t="inlineStr">
        <is>
          <t>на ед. изм.</t>
        </is>
      </c>
      <c r="G7" s="368" t="inlineStr">
        <is>
          <t>общая</t>
        </is>
      </c>
    </row>
    <row r="8">
      <c r="A8" s="368" t="n">
        <v>1</v>
      </c>
      <c r="B8" s="368" t="n">
        <v>2</v>
      </c>
      <c r="C8" s="368" t="n">
        <v>3</v>
      </c>
      <c r="D8" s="368" t="n">
        <v>4</v>
      </c>
      <c r="E8" s="368" t="n">
        <v>5</v>
      </c>
      <c r="F8" s="368" t="n">
        <v>6</v>
      </c>
      <c r="G8" s="368" t="n">
        <v>7</v>
      </c>
    </row>
    <row r="9" ht="15" customHeight="1" s="321">
      <c r="A9" s="303" t="n"/>
      <c r="B9" s="367" t="inlineStr">
        <is>
          <t>ИНЖЕНЕРНОЕ ОБОРУДОВАНИЕ</t>
        </is>
      </c>
      <c r="C9" s="429" t="n"/>
      <c r="D9" s="429" t="n"/>
      <c r="E9" s="429" t="n"/>
      <c r="F9" s="429" t="n"/>
      <c r="G9" s="430" t="n"/>
    </row>
    <row r="10" ht="27" customHeight="1" s="321">
      <c r="A10" s="368" t="n"/>
      <c r="B10" s="372" t="n"/>
      <c r="C10" s="367" t="inlineStr">
        <is>
          <t>ИТОГО ИНЖЕНЕРНОЕ ОБОРУДОВАНИЕ</t>
        </is>
      </c>
      <c r="D10" s="372" t="n"/>
      <c r="E10" s="142" t="n"/>
      <c r="F10" s="370" t="n"/>
      <c r="G10" s="370" t="n">
        <v>0</v>
      </c>
    </row>
    <row r="11">
      <c r="A11" s="368" t="n"/>
      <c r="B11" s="367" t="inlineStr">
        <is>
          <t>ТЕХНОЛОГИЧЕСКОЕ ОБОРУДОВАНИЕ</t>
        </is>
      </c>
      <c r="C11" s="429" t="n"/>
      <c r="D11" s="429" t="n"/>
      <c r="E11" s="429" t="n"/>
      <c r="F11" s="429" t="n"/>
      <c r="G11" s="430" t="n"/>
    </row>
    <row r="12" ht="25.5" customHeight="1" s="321">
      <c r="A12" s="368" t="n"/>
      <c r="B12" s="367" t="n"/>
      <c r="C12" s="367" t="inlineStr">
        <is>
          <t>ИТОГО ТЕХНОЛОГИЧЕСКОЕ ОБОРУДОВАНИЕ</t>
        </is>
      </c>
      <c r="D12" s="367" t="n"/>
      <c r="E12" s="382" t="n"/>
      <c r="F12" s="370" t="n"/>
      <c r="G12" s="295" t="n">
        <v>0</v>
      </c>
    </row>
    <row r="13" ht="19.5" customHeight="1" s="321">
      <c r="A13" s="368" t="n"/>
      <c r="B13" s="367" t="n"/>
      <c r="C13" s="367" t="inlineStr">
        <is>
          <t>Всего по разделу «Оборудование»</t>
        </is>
      </c>
      <c r="D13" s="367" t="n"/>
      <c r="E13" s="382" t="n"/>
      <c r="F13" s="370" t="n"/>
      <c r="G13" s="295" t="n">
        <v>0</v>
      </c>
    </row>
    <row r="14">
      <c r="A14" s="332" t="n"/>
      <c r="B14" s="333" t="n"/>
      <c r="C14" s="332" t="n"/>
      <c r="D14" s="332" t="n"/>
      <c r="E14" s="332" t="n"/>
      <c r="F14" s="332" t="n"/>
      <c r="G14" s="332" t="n"/>
    </row>
    <row r="15">
      <c r="A15" s="334" t="inlineStr">
        <is>
          <t>Составил ______________________    А.Р. Маркова</t>
        </is>
      </c>
      <c r="B15" s="337" t="n"/>
      <c r="C15" s="337" t="n"/>
      <c r="D15" s="332" t="n"/>
      <c r="E15" s="332" t="n"/>
      <c r="F15" s="332" t="n"/>
      <c r="G15" s="332" t="n"/>
    </row>
    <row r="16">
      <c r="A16" s="336" t="inlineStr">
        <is>
          <t xml:space="preserve">                         (подпись, инициалы, фамилия)</t>
        </is>
      </c>
      <c r="B16" s="337" t="n"/>
      <c r="C16" s="337" t="n"/>
      <c r="D16" s="332" t="n"/>
      <c r="E16" s="332" t="n"/>
      <c r="F16" s="332" t="n"/>
      <c r="G16" s="332" t="n"/>
    </row>
    <row r="17">
      <c r="A17" s="334" t="n"/>
      <c r="B17" s="337" t="n"/>
      <c r="C17" s="337" t="n"/>
      <c r="D17" s="332" t="n"/>
      <c r="E17" s="332" t="n"/>
      <c r="F17" s="332" t="n"/>
      <c r="G17" s="332" t="n"/>
    </row>
    <row r="18">
      <c r="A18" s="334" t="inlineStr">
        <is>
          <t>Проверил ______________________        А.В. Костянецкая</t>
        </is>
      </c>
      <c r="B18" s="337" t="n"/>
      <c r="C18" s="337" t="n"/>
      <c r="D18" s="332" t="n"/>
      <c r="E18" s="332" t="n"/>
      <c r="F18" s="332" t="n"/>
      <c r="G18" s="332" t="n"/>
    </row>
    <row r="19">
      <c r="A19" s="336" t="inlineStr">
        <is>
          <t xml:space="preserve">                        (подпись, инициалы, фамилия)</t>
        </is>
      </c>
      <c r="B19" s="337" t="n"/>
      <c r="C19" s="337" t="n"/>
      <c r="D19" s="332" t="n"/>
      <c r="E19" s="332" t="n"/>
      <c r="F19" s="332" t="n"/>
      <c r="G19" s="332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8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C15" sqref="C15"/>
    </sheetView>
  </sheetViews>
  <sheetFormatPr baseColWidth="8" defaultRowHeight="15"/>
  <cols>
    <col width="19.28515625" customWidth="1" style="321" min="1" max="1"/>
    <col width="25.42578125" customWidth="1" style="321" min="2" max="2"/>
    <col width="38.28515625" customWidth="1" style="321" min="3" max="3"/>
    <col width="33.28515625" customWidth="1" style="321" min="4" max="4"/>
    <col width="8.85546875" customWidth="1" style="321" min="5" max="5"/>
  </cols>
  <sheetData>
    <row r="1">
      <c r="B1" s="334" t="n"/>
      <c r="C1" s="334" t="n"/>
      <c r="D1" s="378" t="inlineStr">
        <is>
          <t>Приложение №7</t>
        </is>
      </c>
    </row>
    <row r="2">
      <c r="A2" s="378" t="n"/>
      <c r="B2" s="378" t="n"/>
      <c r="C2" s="378" t="n"/>
      <c r="D2" s="378" t="n"/>
    </row>
    <row r="3">
      <c r="A3" s="339" t="inlineStr">
        <is>
          <t>Расчет показателя УНЦ</t>
        </is>
      </c>
    </row>
    <row r="4" ht="25.15" customHeight="1" s="321">
      <c r="A4" s="339" t="n"/>
      <c r="B4" s="339" t="n"/>
      <c r="C4" s="339" t="n"/>
      <c r="D4" s="339" t="n"/>
    </row>
    <row r="5" ht="44.45" customHeight="1" s="321">
      <c r="A5" s="342" t="inlineStr">
        <is>
          <t xml:space="preserve">Наименование разрабатываемого показателя УНЦ - </t>
        </is>
      </c>
      <c r="D5" s="342">
        <f>'Прил.5 Расчет СМР и ОБ'!D6:J6</f>
        <v/>
      </c>
    </row>
    <row r="6">
      <c r="A6" s="342" t="inlineStr">
        <is>
          <t>Единица измерения  — 1 км ВЛ</t>
        </is>
      </c>
      <c r="D6" s="342" t="n"/>
    </row>
    <row r="7">
      <c r="A7" s="334" t="n"/>
      <c r="B7" s="334" t="n"/>
      <c r="C7" s="334" t="n"/>
      <c r="D7" s="334" t="n"/>
    </row>
    <row r="8">
      <c r="A8" s="368" t="inlineStr">
        <is>
          <t>Код показателя</t>
        </is>
      </c>
      <c r="B8" s="368" t="inlineStr">
        <is>
          <t>Наименование показателя</t>
        </is>
      </c>
      <c r="C8" s="368" t="inlineStr">
        <is>
          <t>Наименование РМ, входящих в состав показателя</t>
        </is>
      </c>
      <c r="D8" s="368" t="inlineStr">
        <is>
          <t>Норматив цены на 01.01.2023, тыс.руб.</t>
        </is>
      </c>
    </row>
    <row r="9">
      <c r="A9" s="432" t="n"/>
      <c r="B9" s="432" t="n"/>
      <c r="C9" s="432" t="n"/>
      <c r="D9" s="432" t="n"/>
    </row>
    <row r="10">
      <c r="A10" s="368" t="n">
        <v>1</v>
      </c>
      <c r="B10" s="368" t="n">
        <v>2</v>
      </c>
      <c r="C10" s="368" t="n">
        <v>3</v>
      </c>
      <c r="D10" s="368" t="n">
        <v>4</v>
      </c>
    </row>
    <row r="11" ht="44.45" customHeight="1" s="321">
      <c r="A11" s="368" t="inlineStr">
        <is>
          <t>Л10-01-1</t>
        </is>
      </c>
      <c r="B11" s="368" t="inlineStr">
        <is>
          <t>УНЦ гирлянды изоляторов ВЛ</t>
        </is>
      </c>
      <c r="C11" s="330">
        <f>D5</f>
        <v/>
      </c>
      <c r="D11" s="331">
        <f>'Прил.4 РМ'!C41/1000</f>
        <v/>
      </c>
    </row>
    <row r="12">
      <c r="A12" s="332" t="n"/>
      <c r="B12" s="333" t="n"/>
      <c r="C12" s="332" t="n"/>
      <c r="D12" s="332" t="n"/>
    </row>
    <row r="13">
      <c r="A13" s="334" t="inlineStr">
        <is>
          <t>Составил ______________________      А.Р. Маркова</t>
        </is>
      </c>
      <c r="B13" s="337" t="n"/>
      <c r="C13" s="337" t="n"/>
      <c r="D13" s="332" t="n"/>
    </row>
    <row r="14">
      <c r="A14" s="336" t="inlineStr">
        <is>
          <t xml:space="preserve">                         (подпись, инициалы, фамилия)</t>
        </is>
      </c>
      <c r="B14" s="337" t="n"/>
      <c r="C14" s="337" t="n"/>
      <c r="D14" s="332" t="n"/>
    </row>
    <row r="15">
      <c r="A15" s="334" t="n"/>
      <c r="B15" s="337" t="n"/>
      <c r="C15" s="337" t="n"/>
      <c r="D15" s="332" t="n"/>
    </row>
    <row r="16">
      <c r="A16" s="334" t="inlineStr">
        <is>
          <t>Проверил ______________________        А.В. Костянецкая</t>
        </is>
      </c>
      <c r="B16" s="337" t="n"/>
      <c r="C16" s="337" t="n"/>
      <c r="D16" s="332" t="n"/>
    </row>
    <row r="17">
      <c r="A17" s="336" t="inlineStr">
        <is>
          <t xml:space="preserve">                        (подпись, инициалы, фамилия)</t>
        </is>
      </c>
      <c r="B17" s="337" t="n"/>
      <c r="C17" s="337" t="n"/>
      <c r="D17" s="332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76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view="pageBreakPreview" topLeftCell="A22" zoomScale="60" zoomScaleNormal="85" workbookViewId="0">
      <selection activeCell="D27" sqref="D27"/>
    </sheetView>
  </sheetViews>
  <sheetFormatPr baseColWidth="8" defaultRowHeight="15"/>
  <cols>
    <col width="9.140625" customWidth="1" style="321" min="1" max="1"/>
    <col width="40.7109375" customWidth="1" style="321" min="2" max="2"/>
    <col width="37" customWidth="1" style="321" min="3" max="3"/>
    <col width="32" customWidth="1" style="321" min="4" max="4"/>
    <col width="9.140625" customWidth="1" style="321" min="5" max="5"/>
  </cols>
  <sheetData>
    <row r="4" ht="15.75" customHeight="1" s="321">
      <c r="B4" s="347" t="inlineStr">
        <is>
          <t>Приложение № 10</t>
        </is>
      </c>
    </row>
    <row r="5" ht="18.75" customHeight="1" s="321">
      <c r="B5" s="193" t="n"/>
    </row>
    <row r="6" ht="15.75" customHeight="1" s="321">
      <c r="B6" s="352" t="inlineStr">
        <is>
          <t>Используемые индексы изменений сметной стоимости и нормы сопутствующих затрат</t>
        </is>
      </c>
    </row>
    <row r="7">
      <c r="B7" s="384" t="inlineStr">
        <is>
          <t>*Стоимость ПНР принята на основании СД ОП</t>
        </is>
      </c>
    </row>
    <row r="8">
      <c r="B8" s="384" t="n"/>
      <c r="C8" s="384" t="n"/>
      <c r="D8" s="384" t="n"/>
      <c r="E8" s="384" t="n"/>
    </row>
    <row r="9" ht="47.25" customHeight="1" s="321">
      <c r="B9" s="353" t="inlineStr">
        <is>
          <t>Наименование индекса / норм сопутствующих затрат</t>
        </is>
      </c>
      <c r="C9" s="353" t="inlineStr">
        <is>
          <t>Дата применения и обоснование индекса / норм сопутствующих затрат</t>
        </is>
      </c>
      <c r="D9" s="353" t="inlineStr">
        <is>
          <t>Размер индекса / норма сопутствующих затрат</t>
        </is>
      </c>
    </row>
    <row r="10" ht="15.75" customHeight="1" s="321">
      <c r="B10" s="353" t="n">
        <v>1</v>
      </c>
      <c r="C10" s="353" t="n">
        <v>2</v>
      </c>
      <c r="D10" s="353" t="n">
        <v>3</v>
      </c>
    </row>
    <row r="11" ht="45" customHeight="1" s="321">
      <c r="B11" s="353" t="inlineStr">
        <is>
          <t xml:space="preserve">Индекс изменения сметной стоимости на 1 квартал 2023 года. ОЗП </t>
        </is>
      </c>
      <c r="C11" s="353" t="inlineStr">
        <is>
          <t>Письмо Минстроя России от 01.04.2023г. №17772-ИФ/09  прил.9</t>
        </is>
      </c>
      <c r="D11" s="353" t="n">
        <v>46.83</v>
      </c>
    </row>
    <row r="12" ht="47.25" customHeight="1" s="321">
      <c r="B12" s="353" t="inlineStr">
        <is>
          <t>Индекс изменения сметной стоимости на 1 квартал 2023 года. ЭМ</t>
        </is>
      </c>
      <c r="C12" s="353" t="inlineStr">
        <is>
          <t>Письмо Минстроя России от 01.04.2023г. №17772-ИФ/09  прил.9</t>
        </is>
      </c>
      <c r="D12" s="353" t="n">
        <v>11.96</v>
      </c>
    </row>
    <row r="13" ht="47.25" customHeight="1" s="321">
      <c r="B13" s="353" t="inlineStr">
        <is>
          <t>Индекс изменения сметной стоимости на 1 квартал 2023 года. МАТ</t>
        </is>
      </c>
      <c r="C13" s="353" t="inlineStr">
        <is>
          <t>Письмо Минстроя России от 01.04.2023г. №17772-ИФ/09  прил.9</t>
        </is>
      </c>
      <c r="D13" s="353" t="n">
        <v>9.84</v>
      </c>
    </row>
    <row r="14" ht="30.75" customHeight="1" s="321">
      <c r="B14" s="353" t="inlineStr">
        <is>
          <t>Индекс изменения сметной стоимости на 1 квартал 2023 года. ОБ</t>
        </is>
      </c>
      <c r="C14" s="259" t="inlineStr">
        <is>
          <t>Письмо Минстроя России от 23.02.2023г. №9791-ИФ/09 прил.6</t>
        </is>
      </c>
      <c r="D14" s="353" t="n">
        <v>6.26</v>
      </c>
    </row>
    <row r="15" ht="89.25" customHeight="1" s="321">
      <c r="B15" s="353" t="inlineStr">
        <is>
          <t>Временные здания и сооружения</t>
        </is>
      </c>
      <c r="C15" s="353" t="inlineStr">
        <is>
          <t xml:space="preserve">п.39.1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96" t="n">
        <v>0.033</v>
      </c>
    </row>
    <row r="16" ht="78.75" customHeight="1" s="321">
      <c r="B16" s="353" t="inlineStr">
        <is>
          <t>Дополнительные затраты при производстве строительно-монтажных работ в зимнее время</t>
        </is>
      </c>
      <c r="C16" s="353" t="inlineStr">
        <is>
          <t xml:space="preserve">п.51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96" t="n">
        <v>0.01</v>
      </c>
    </row>
    <row r="17" ht="34.5" customHeight="1" s="321">
      <c r="B17" s="353" t="n"/>
      <c r="C17" s="353" t="n"/>
      <c r="D17" s="353" t="n"/>
    </row>
    <row r="18" ht="31.5" customHeight="1" s="321">
      <c r="B18" s="353" t="inlineStr">
        <is>
          <t>Строительный контроль</t>
        </is>
      </c>
      <c r="C18" s="353" t="inlineStr">
        <is>
          <t>Постановление Правительства РФ от 21.06.10 г. № 468</t>
        </is>
      </c>
      <c r="D18" s="196" t="n">
        <v>0.0214</v>
      </c>
    </row>
    <row r="19" ht="31.5" customHeight="1" s="321">
      <c r="B19" s="353" t="inlineStr">
        <is>
          <t>Авторский надзор - 0,2%</t>
        </is>
      </c>
      <c r="C19" s="353" t="inlineStr">
        <is>
          <t>Приказ от 4.08.2020 № 421/пр п.173</t>
        </is>
      </c>
      <c r="D19" s="196" t="n">
        <v>0.002</v>
      </c>
    </row>
    <row r="20" ht="24" customHeight="1" s="321">
      <c r="B20" s="353" t="inlineStr">
        <is>
          <t>Непредвиденные расходы</t>
        </is>
      </c>
      <c r="C20" s="353" t="inlineStr">
        <is>
          <t>Приказ от 4.08.2020 № 421/пр п.179</t>
        </is>
      </c>
      <c r="D20" s="196" t="n">
        <v>0.03</v>
      </c>
    </row>
    <row r="21" ht="18.75" customHeight="1" s="321">
      <c r="B21" s="194" t="n"/>
    </row>
    <row r="22" ht="18.75" customHeight="1" s="321">
      <c r="B22" s="194" t="n"/>
    </row>
    <row r="23" ht="18.75" customHeight="1" s="321">
      <c r="B23" s="194" t="n"/>
    </row>
    <row r="24" ht="18.75" customHeight="1" s="321">
      <c r="B24" s="194" t="n"/>
    </row>
    <row r="27">
      <c r="B27" s="334" t="inlineStr">
        <is>
          <t>Составил ______________________      А.Р. Маркова</t>
        </is>
      </c>
      <c r="C27" s="337" t="n"/>
    </row>
    <row r="28">
      <c r="B28" s="336" t="inlineStr">
        <is>
          <t xml:space="preserve">                         (подпись, инициалы, фамилия)</t>
        </is>
      </c>
      <c r="C28" s="337" t="n"/>
    </row>
    <row r="29">
      <c r="B29" s="334" t="n"/>
      <c r="C29" s="337" t="n"/>
    </row>
    <row r="30">
      <c r="B30" s="334" t="inlineStr">
        <is>
          <t>Проверил ______________________        А.В. Костянецкая</t>
        </is>
      </c>
      <c r="C30" s="337" t="n"/>
    </row>
    <row r="31">
      <c r="B31" s="336" t="inlineStr">
        <is>
          <t xml:space="preserve">                        (подпись, инициалы, фамилия)</t>
        </is>
      </c>
      <c r="C31" s="337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9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topLeftCell="A4" workbookViewId="0">
      <selection activeCell="D25" sqref="D25"/>
    </sheetView>
  </sheetViews>
  <sheetFormatPr baseColWidth="8" defaultRowHeight="15"/>
  <cols>
    <col width="9.140625" customWidth="1" style="321" min="1" max="1"/>
    <col width="44.85546875" customWidth="1" style="321" min="2" max="2"/>
    <col width="13" customWidth="1" style="321" min="3" max="3"/>
    <col width="22.85546875" customWidth="1" style="321" min="4" max="4"/>
    <col width="21.5703125" customWidth="1" style="321" min="5" max="5"/>
    <col width="43.85546875" customWidth="1" style="321" min="6" max="6"/>
    <col width="9.140625" customWidth="1" style="321" min="7" max="7"/>
  </cols>
  <sheetData>
    <row r="2" ht="17.25" customHeight="1" s="321">
      <c r="A2" s="352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 s="321">
      <c r="A4" s="176" t="inlineStr">
        <is>
          <t>Составлен в уровне цен на 01.01.2023 г.</t>
        </is>
      </c>
      <c r="B4" s="177" t="n"/>
      <c r="C4" s="177" t="n"/>
      <c r="D4" s="177" t="n"/>
      <c r="E4" s="177" t="n"/>
      <c r="F4" s="177" t="n"/>
      <c r="G4" s="177" t="n"/>
    </row>
    <row r="5" ht="15.75" customHeight="1" s="321">
      <c r="A5" s="178" t="inlineStr">
        <is>
          <t>№ пп.</t>
        </is>
      </c>
      <c r="B5" s="178" t="inlineStr">
        <is>
          <t>Наименование элемента</t>
        </is>
      </c>
      <c r="C5" s="178" t="inlineStr">
        <is>
          <t>Обозначение</t>
        </is>
      </c>
      <c r="D5" s="178" t="inlineStr">
        <is>
          <t>Формула</t>
        </is>
      </c>
      <c r="E5" s="178" t="inlineStr">
        <is>
          <t>Величина элемента</t>
        </is>
      </c>
      <c r="F5" s="178" t="inlineStr">
        <is>
          <t>Наименования обосновывающих документов</t>
        </is>
      </c>
      <c r="G5" s="177" t="n"/>
    </row>
    <row r="6" ht="15.75" customHeight="1" s="321">
      <c r="A6" s="178" t="n">
        <v>1</v>
      </c>
      <c r="B6" s="178" t="n">
        <v>2</v>
      </c>
      <c r="C6" s="178" t="n">
        <v>3</v>
      </c>
      <c r="D6" s="178" t="n">
        <v>4</v>
      </c>
      <c r="E6" s="178" t="n">
        <v>5</v>
      </c>
      <c r="F6" s="178" t="n">
        <v>6</v>
      </c>
      <c r="G6" s="177" t="n"/>
    </row>
    <row r="7" ht="110.25" customHeight="1" s="321">
      <c r="A7" s="179" t="inlineStr">
        <is>
          <t>1.1</t>
        </is>
      </c>
      <c r="B7" s="183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53" t="inlineStr">
        <is>
          <t>С1ср</t>
        </is>
      </c>
      <c r="D7" s="353" t="inlineStr">
        <is>
          <t>-</t>
        </is>
      </c>
      <c r="E7" s="182" t="n">
        <v>43361</v>
      </c>
      <c r="F7" s="183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77" t="n"/>
    </row>
    <row r="8" ht="31.5" customHeight="1" s="321">
      <c r="A8" s="179" t="inlineStr">
        <is>
          <t>1.2</t>
        </is>
      </c>
      <c r="B8" s="183" t="inlineStr">
        <is>
          <t>Среднегодовое нормативное число часов работы одного рабочего в месяц, часы (ч.)</t>
        </is>
      </c>
      <c r="C8" s="353" t="inlineStr">
        <is>
          <t>tср</t>
        </is>
      </c>
      <c r="D8" s="353" t="inlineStr">
        <is>
          <t>1973ч/12мес.</t>
        </is>
      </c>
      <c r="E8" s="182">
        <f>1973/12</f>
        <v/>
      </c>
      <c r="F8" s="183" t="inlineStr">
        <is>
          <t>Производственный календарь 2023 год
(40-часов.неделя)</t>
        </is>
      </c>
      <c r="G8" s="185" t="n"/>
    </row>
    <row r="9" ht="15.75" customHeight="1" s="321">
      <c r="A9" s="179" t="inlineStr">
        <is>
          <t>1.3</t>
        </is>
      </c>
      <c r="B9" s="183" t="inlineStr">
        <is>
          <t>Коэффициент увеличения</t>
        </is>
      </c>
      <c r="C9" s="353" t="inlineStr">
        <is>
          <t>Кув</t>
        </is>
      </c>
      <c r="D9" s="353" t="inlineStr">
        <is>
          <t>-</t>
        </is>
      </c>
      <c r="E9" s="182" t="n">
        <v>1</v>
      </c>
      <c r="F9" s="183" t="n"/>
      <c r="G9" s="185" t="n"/>
    </row>
    <row r="10" ht="15.75" customHeight="1" s="321">
      <c r="A10" s="179" t="inlineStr">
        <is>
          <t>1.4</t>
        </is>
      </c>
      <c r="B10" s="183" t="inlineStr">
        <is>
          <t>Средний разряд работ</t>
        </is>
      </c>
      <c r="C10" s="353" t="n"/>
      <c r="D10" s="353" t="n"/>
      <c r="E10" s="186" t="n">
        <v>4</v>
      </c>
      <c r="F10" s="183" t="inlineStr">
        <is>
          <t>РТМ</t>
        </is>
      </c>
      <c r="G10" s="185" t="n"/>
    </row>
    <row r="11" ht="78.75" customHeight="1" s="321">
      <c r="A11" s="179" t="inlineStr">
        <is>
          <t>1.5</t>
        </is>
      </c>
      <c r="B11" s="183" t="inlineStr">
        <is>
          <t>Тарифный коэффициент среднего разряда работ</t>
        </is>
      </c>
      <c r="C11" s="353" t="inlineStr">
        <is>
          <t>КТ</t>
        </is>
      </c>
      <c r="D11" s="353" t="inlineStr">
        <is>
          <t>-</t>
        </is>
      </c>
      <c r="E11" s="187" t="n">
        <v>1.34</v>
      </c>
      <c r="F11" s="183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77" t="n"/>
    </row>
    <row r="12" ht="78.75" customHeight="1" s="321">
      <c r="A12" s="179" t="inlineStr">
        <is>
          <t>1.6</t>
        </is>
      </c>
      <c r="B12" s="188" t="inlineStr">
        <is>
          <t>Коэффициент инфляции, определяемый поквартально</t>
        </is>
      </c>
      <c r="C12" s="353" t="inlineStr">
        <is>
          <t>Кинф</t>
        </is>
      </c>
      <c r="D12" s="353" t="inlineStr">
        <is>
          <t>-</t>
        </is>
      </c>
      <c r="E12" s="189" t="n">
        <v>1.139</v>
      </c>
      <c r="F12" s="190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85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321">
      <c r="A13" s="179" t="inlineStr">
        <is>
          <t>1.7</t>
        </is>
      </c>
      <c r="B13" s="319" t="inlineStr">
        <is>
          <t>Размер средств на оплату труда рабочих-строителей в текущем уровне цен (ФОТр.тек.), руб/чел.-ч</t>
        </is>
      </c>
      <c r="C13" s="353" t="inlineStr">
        <is>
          <t>ФОТр.тек.</t>
        </is>
      </c>
      <c r="D13" s="353" t="inlineStr">
        <is>
          <t>(С1ср/tср*КТ*Т*Кув)*Кинф</t>
        </is>
      </c>
      <c r="E13" s="192">
        <f>((E7*E9/E8)*E11)*E12</f>
        <v/>
      </c>
      <c r="F13" s="183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77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2025-01-24T12:09:42Z</dcterms:modified>
  <cp:lastModifiedBy>Danil</cp:lastModifiedBy>
  <cp:lastPrinted>2023-11-29T07:47:21Z</cp:lastPrinted>
</cp:coreProperties>
</file>