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ОБ'!$A$1:$J$59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\ _₽"/>
    <numFmt numFmtId="171" formatCode="0.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i val="1"/>
      <color rgb="FF00B050"/>
      <sz val="10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8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171" fontId="13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4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4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1"/>
  <sheetViews>
    <sheetView view="pageBreakPreview" topLeftCell="A19" zoomScale="70" zoomScaleNormal="70" workbookViewId="0">
      <selection activeCell="C28" sqref="C28"/>
    </sheetView>
  </sheetViews>
  <sheetFormatPr baseColWidth="8" defaultRowHeight="15"/>
  <cols>
    <col width="36.85546875" customWidth="1" style="327" min="3" max="3"/>
    <col width="43.85546875" customWidth="1" style="327" min="4" max="4"/>
  </cols>
  <sheetData>
    <row r="3" ht="15.75" customHeight="1" s="327">
      <c r="B3" s="352" t="inlineStr">
        <is>
          <t>Приложение № 1</t>
        </is>
      </c>
    </row>
    <row r="4" ht="18.75" customHeight="1" s="327">
      <c r="B4" s="353" t="inlineStr">
        <is>
          <t>Сравнительная таблица отбора объекта-представителя</t>
        </is>
      </c>
    </row>
    <row r="5" ht="84" customHeight="1" s="327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171" t="n"/>
      <c r="C6" s="171" t="n"/>
      <c r="D6" s="171" t="n"/>
    </row>
    <row r="7" ht="42" customHeight="1" s="327">
      <c r="B7" s="351" t="inlineStr">
        <is>
          <t>Наименование разрабатываемого показателя УНЦ - Гирлянды изоляторов ВЛ напряжение 35 кВ</t>
        </is>
      </c>
    </row>
    <row r="8" ht="31.5" customHeight="1" s="327">
      <c r="B8" s="351" t="inlineStr">
        <is>
          <t>Сопоставимый уровень цен: 4 кв. 2016 г.</t>
        </is>
      </c>
    </row>
    <row r="9" ht="15.75" customHeight="1" s="327">
      <c r="B9" s="351" t="inlineStr">
        <is>
          <t>Единица измерения  — 1 гирлянда изоляторов</t>
        </is>
      </c>
    </row>
    <row r="10" ht="18.75" customHeight="1" s="327">
      <c r="B10" s="200" t="n"/>
    </row>
    <row r="11" ht="15.75" customHeight="1" s="327">
      <c r="B11" s="358" t="inlineStr">
        <is>
          <t>№ п/п</t>
        </is>
      </c>
      <c r="C11" s="358" t="inlineStr">
        <is>
          <t>Параметр</t>
        </is>
      </c>
      <c r="D11" s="358" t="inlineStr">
        <is>
          <t>Объект-представитель</t>
        </is>
      </c>
    </row>
    <row r="12" ht="41.25" customHeight="1" s="327">
      <c r="B12" s="358" t="n">
        <v>1</v>
      </c>
      <c r="C12" s="194" t="inlineStr">
        <is>
          <t>Наименование объекта-представителя</t>
        </is>
      </c>
      <c r="D12" s="313" t="inlineStr">
        <is>
          <t>ПС 500 кВ Преображенская</t>
        </is>
      </c>
    </row>
    <row r="13" ht="31.5" customHeight="1" s="327">
      <c r="B13" s="358" t="n">
        <v>2</v>
      </c>
      <c r="C13" s="194" t="inlineStr">
        <is>
          <t>Наименование субъекта Российской Федерации</t>
        </is>
      </c>
      <c r="D13" s="313" t="inlineStr">
        <is>
          <t>Оренбургская область</t>
        </is>
      </c>
    </row>
    <row r="14" ht="15.75" customHeight="1" s="327">
      <c r="B14" s="358" t="n">
        <v>3</v>
      </c>
      <c r="C14" s="194" t="inlineStr">
        <is>
          <t>Климатический район и подрайон</t>
        </is>
      </c>
      <c r="D14" s="313" t="inlineStr">
        <is>
          <t>IВ</t>
        </is>
      </c>
    </row>
    <row r="15" ht="15.75" customHeight="1" s="327">
      <c r="B15" s="358" t="n">
        <v>4</v>
      </c>
      <c r="C15" s="194" t="inlineStr">
        <is>
          <t>Мощность объекта</t>
        </is>
      </c>
      <c r="D15" s="313" t="n">
        <v>1</v>
      </c>
    </row>
    <row r="16" ht="161.25" customHeight="1" s="327">
      <c r="B16" s="358" t="n">
        <v>5</v>
      </c>
      <c r="C16" s="25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8" t="inlineStr">
        <is>
          <t>Гирлянды изоляторов</t>
        </is>
      </c>
    </row>
    <row r="17" ht="95.25" customHeight="1" s="327">
      <c r="B17" s="358" t="n">
        <v>6</v>
      </c>
      <c r="C17" s="25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5">
        <f>SUM(D18:D21)</f>
        <v/>
      </c>
    </row>
    <row r="18" ht="15.75" customHeight="1" s="327">
      <c r="B18" s="176" t="inlineStr">
        <is>
          <t>6.1</t>
        </is>
      </c>
      <c r="C18" s="194" t="inlineStr">
        <is>
          <t>строительно-монтажные работы</t>
        </is>
      </c>
      <c r="D18" s="313" t="n">
        <v>10.62</v>
      </c>
    </row>
    <row r="19" ht="15.75" customHeight="1" s="327">
      <c r="B19" s="176" t="inlineStr">
        <is>
          <t>6.2</t>
        </is>
      </c>
      <c r="C19" s="194" t="inlineStr">
        <is>
          <t>оборудование и инвентарь</t>
        </is>
      </c>
      <c r="D19" s="315" t="n">
        <v>0</v>
      </c>
    </row>
    <row r="20" ht="15.75" customHeight="1" s="327">
      <c r="B20" s="176" t="inlineStr">
        <is>
          <t>6.3</t>
        </is>
      </c>
      <c r="C20" s="194" t="inlineStr">
        <is>
          <t>пусконаладочные работы</t>
        </is>
      </c>
      <c r="D20" s="315" t="n">
        <v>0</v>
      </c>
    </row>
    <row r="21" ht="31.5" customHeight="1" s="327">
      <c r="B21" s="176" t="inlineStr">
        <is>
          <t>6.4</t>
        </is>
      </c>
      <c r="C21" s="194" t="inlineStr">
        <is>
          <t>прочие и лимитированные затраты</t>
        </is>
      </c>
      <c r="D21" s="315">
        <f>D18*3.9%+(D18+D18*3.9%)*3.2%</f>
        <v/>
      </c>
    </row>
    <row r="22" ht="15.75" customHeight="1" s="327">
      <c r="B22" s="358" t="n">
        <v>7</v>
      </c>
      <c r="C22" s="194" t="inlineStr">
        <is>
          <t>Сопоставимый уровень цен</t>
        </is>
      </c>
      <c r="D22" s="313" t="inlineStr">
        <is>
          <t>4 кв. 2016 г.</t>
        </is>
      </c>
    </row>
    <row r="23" ht="110.25" customHeight="1" s="327">
      <c r="B23" s="358" t="n">
        <v>8</v>
      </c>
      <c r="C23" s="25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5">
        <f>D17/5.17*7.62</f>
        <v/>
      </c>
    </row>
    <row r="24" ht="61.5" customHeight="1" s="327">
      <c r="B24" s="358" t="n">
        <v>9</v>
      </c>
      <c r="C24" s="258" t="inlineStr">
        <is>
          <t>Приведенная сметная стоимость на единицу мощности, тыс. руб. (строка 8/строку 4)</t>
        </is>
      </c>
      <c r="D24" s="315">
        <f>D23/D15</f>
        <v/>
      </c>
    </row>
    <row r="25" ht="37.5" customHeight="1" s="327">
      <c r="B25" s="178" t="n"/>
      <c r="C25" s="179" t="n"/>
      <c r="D25" s="179" t="n"/>
    </row>
    <row r="26">
      <c r="B26" s="340" t="inlineStr">
        <is>
          <t>Составил ______________________        А.Р. Маркова</t>
        </is>
      </c>
      <c r="C26" s="343" t="n"/>
    </row>
    <row r="27">
      <c r="B27" s="342" t="inlineStr">
        <is>
          <t xml:space="preserve">                         (подпись, инициалы, фамилия)</t>
        </is>
      </c>
      <c r="C27" s="343" t="n"/>
    </row>
    <row r="28">
      <c r="B28" s="340" t="n"/>
      <c r="C28" s="343" t="n"/>
    </row>
    <row r="29">
      <c r="B29" s="340" t="inlineStr">
        <is>
          <t>Проверил ______________________        А.В. Костянецкая</t>
        </is>
      </c>
      <c r="C29" s="343" t="n"/>
    </row>
    <row r="30">
      <c r="B30" s="342" t="inlineStr">
        <is>
          <t xml:space="preserve">                        (подпись, инициалы, фамилия)</t>
        </is>
      </c>
      <c r="C30" s="343" t="n"/>
    </row>
    <row r="31" ht="15.75" customHeight="1" s="327">
      <c r="B31" s="179" t="n"/>
      <c r="C31" s="179" t="n"/>
      <c r="D31" s="17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0"/>
  <sheetViews>
    <sheetView view="pageBreakPreview" topLeftCell="A7" zoomScale="90" zoomScaleNormal="70" workbookViewId="0">
      <selection activeCell="C17" sqref="C17"/>
    </sheetView>
  </sheetViews>
  <sheetFormatPr baseColWidth="8" defaultRowHeight="15"/>
  <cols>
    <col width="5.5703125" customWidth="1" style="327" min="1" max="1"/>
    <col width="29.7109375" customWidth="1" style="327" min="3" max="3"/>
    <col width="10.28515625" customWidth="1" style="327" min="4" max="4"/>
    <col width="12.5703125" customWidth="1" style="327" min="5" max="5"/>
    <col width="9.28515625" customWidth="1" style="327" min="6" max="6"/>
    <col width="11.85546875" customWidth="1" style="327" min="7" max="7"/>
    <col width="12.42578125" customWidth="1" style="327" min="8" max="8"/>
    <col width="9.7109375" customWidth="1" style="327" min="9" max="9"/>
    <col width="13" customWidth="1" style="327" min="10" max="10"/>
  </cols>
  <sheetData>
    <row r="3" ht="15.75" customHeight="1" s="327">
      <c r="B3" s="352" t="inlineStr">
        <is>
          <t>Приложение № 2</t>
        </is>
      </c>
    </row>
    <row r="4" ht="15.75" customHeight="1" s="327">
      <c r="B4" s="357" t="inlineStr">
        <is>
          <t>Расчет стоимости основных видов работ для выбора объекта-представителя</t>
        </is>
      </c>
    </row>
    <row r="5" ht="15.75" customHeight="1" s="327">
      <c r="B5" s="180" t="n"/>
      <c r="C5" s="180" t="n"/>
      <c r="D5" s="180" t="n"/>
      <c r="E5" s="180" t="n"/>
      <c r="F5" s="180" t="n"/>
      <c r="G5" s="180" t="n"/>
      <c r="H5" s="180" t="n"/>
      <c r="I5" s="180" t="n"/>
      <c r="J5" s="180" t="n"/>
    </row>
    <row r="6" ht="15.75" customHeight="1" s="327">
      <c r="B6" s="351" t="inlineStr">
        <is>
          <t>Наименование разрабатываемого показателя УНЦ - Гирлянды изоляторов ВЛ напряжение 35 кВ</t>
        </is>
      </c>
    </row>
    <row r="7" ht="15.75" customHeight="1" s="327">
      <c r="B7" s="351" t="inlineStr">
        <is>
          <t>Единица измерения  — 1 гирлянда изоляторов</t>
        </is>
      </c>
    </row>
    <row r="8" ht="18.75" customHeight="1" s="327">
      <c r="B8" s="200" t="n"/>
    </row>
    <row r="9" ht="15.75" customHeight="1" s="327">
      <c r="B9" s="358" t="inlineStr">
        <is>
          <t>№ п/п</t>
        </is>
      </c>
      <c r="C9" s="3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8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</row>
    <row r="10" ht="15.75" customHeight="1" s="327">
      <c r="B10" s="437" t="n"/>
      <c r="C10" s="437" t="n"/>
      <c r="D10" s="358" t="inlineStr">
        <is>
          <t>Номер сметы</t>
        </is>
      </c>
      <c r="E10" s="358" t="inlineStr">
        <is>
          <t>Наименование сметы</t>
        </is>
      </c>
      <c r="F10" s="358" t="inlineStr">
        <is>
          <t>Сметная стоимость в уровне цен 4 кв. 2016г., тыс. руб.</t>
        </is>
      </c>
      <c r="G10" s="435" t="n"/>
      <c r="H10" s="435" t="n"/>
      <c r="I10" s="435" t="n"/>
      <c r="J10" s="436" t="n"/>
    </row>
    <row r="11" ht="77.45" customHeight="1" s="327">
      <c r="B11" s="438" t="n"/>
      <c r="C11" s="438" t="n"/>
      <c r="D11" s="438" t="n"/>
      <c r="E11" s="438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</row>
    <row r="12" ht="108" customHeight="1" s="327">
      <c r="B12" s="317" t="n">
        <v>1</v>
      </c>
      <c r="C12" s="317" t="inlineStr">
        <is>
          <t>Гирлянды изоляторов</t>
        </is>
      </c>
      <c r="D12" s="317" t="inlineStr">
        <is>
          <t>02-01-02-5</t>
        </is>
      </c>
      <c r="E12" s="317" t="inlineStr">
        <is>
          <t xml:space="preserve">Установка автотрансформаторов.. Электротехнические решения </t>
        </is>
      </c>
      <c r="F12" s="317" t="n"/>
      <c r="G12" s="318">
        <f>2053.43*5.17/1000</f>
        <v/>
      </c>
      <c r="H12" s="318" t="n"/>
      <c r="I12" s="318" t="n"/>
      <c r="J12" s="318">
        <f>SUM(F12:I12)</f>
        <v/>
      </c>
    </row>
    <row r="13" ht="15.75" customHeight="1" s="327">
      <c r="B13" s="355" t="inlineStr">
        <is>
          <t>Всего по объекту:</t>
        </is>
      </c>
      <c r="C13" s="439" t="n"/>
      <c r="D13" s="439" t="n"/>
      <c r="E13" s="440" t="n"/>
      <c r="F13" s="319" t="n"/>
      <c r="G13" s="320">
        <f>G12</f>
        <v/>
      </c>
      <c r="H13" s="320" t="n"/>
      <c r="I13" s="320" t="n"/>
      <c r="J13" s="320" t="n"/>
    </row>
    <row r="14" ht="28.5" customHeight="1" s="327">
      <c r="B14" s="356" t="inlineStr">
        <is>
          <t>Всего по объекту в сопоставимом уровне цен 4 кв. 2016г:</t>
        </is>
      </c>
      <c r="C14" s="435" t="n"/>
      <c r="D14" s="435" t="n"/>
      <c r="E14" s="436" t="n"/>
      <c r="F14" s="321" t="n"/>
      <c r="G14" s="322">
        <f>G13</f>
        <v/>
      </c>
      <c r="H14" s="322" t="n"/>
      <c r="I14" s="322" t="n"/>
      <c r="J14" s="322">
        <f>SUM(F14:I14)</f>
        <v/>
      </c>
    </row>
    <row r="15" ht="18.75" customHeight="1" s="327">
      <c r="B15" s="200" t="n"/>
    </row>
    <row r="16">
      <c r="C16" s="340" t="inlineStr">
        <is>
          <t>Составил ______________________    А.Р. Маркова</t>
        </is>
      </c>
      <c r="D16" s="343" t="n"/>
    </row>
    <row r="17">
      <c r="C17" s="342" t="inlineStr">
        <is>
          <t xml:space="preserve">                         (подпись, инициалы, фамилия)</t>
        </is>
      </c>
      <c r="D17" s="343" t="n"/>
    </row>
    <row r="18">
      <c r="C18" s="340" t="n"/>
      <c r="D18" s="343" t="n"/>
    </row>
    <row r="19">
      <c r="C19" s="340" t="inlineStr">
        <is>
          <t>Проверил ______________________        А.В. Костянецкая</t>
        </is>
      </c>
      <c r="D19" s="343" t="n"/>
    </row>
    <row r="20">
      <c r="C20" s="342" t="inlineStr">
        <is>
          <t xml:space="preserve">                        (подпись, инициалы, фамилия)</t>
        </is>
      </c>
      <c r="D20" s="343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7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42"/>
  <sheetViews>
    <sheetView view="pageBreakPreview" topLeftCell="A16" zoomScale="84" workbookViewId="0">
      <selection activeCell="D38" sqref="D38"/>
    </sheetView>
  </sheetViews>
  <sheetFormatPr baseColWidth="8" defaultRowHeight="15"/>
  <cols>
    <col width="8.5703125" customWidth="1" style="327" min="1" max="1"/>
    <col width="12.85546875" customWidth="1" style="327" min="2" max="2"/>
    <col width="16.85546875" customWidth="1" style="327" min="3" max="3"/>
    <col width="49.85546875" customWidth="1" style="327" min="4" max="4"/>
    <col width="12.28515625" customWidth="1" style="327" min="5" max="5"/>
    <col width="19.85546875" customWidth="1" style="327" min="6" max="6"/>
    <col width="17.85546875" customWidth="1" style="327" min="7" max="7"/>
    <col width="19.42578125" customWidth="1" style="257" min="8" max="8"/>
    <col width="10.140625" customWidth="1" style="327" min="9" max="9"/>
  </cols>
  <sheetData>
    <row r="2" ht="15.75" customHeight="1" s="327">
      <c r="A2" s="352" t="inlineStr">
        <is>
          <t xml:space="preserve">Приложение № 3 </t>
        </is>
      </c>
      <c r="I2" s="178" t="n"/>
    </row>
    <row r="3" ht="18.75" customHeight="1" s="327">
      <c r="A3" s="353" t="inlineStr">
        <is>
          <t>Объектная ресурсная ведомость</t>
        </is>
      </c>
    </row>
    <row r="4" ht="25.5" customHeight="1" s="327">
      <c r="B4" s="256" t="n"/>
      <c r="C4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 ht="15.75" customHeight="1" s="327">
      <c r="C5" s="235" t="n"/>
      <c r="D5" s="235" t="n"/>
      <c r="E5" s="235" t="n"/>
      <c r="F5" s="235" t="n"/>
      <c r="G5" s="235" t="n"/>
      <c r="H5" s="236" t="n"/>
    </row>
    <row r="6" ht="15" customHeight="1" s="327">
      <c r="A6" s="367" t="inlineStr">
        <is>
          <t>Наименование разрабатываемого показателя УНЦ - Гирлянды изоляторов ВЛ напряжение 35 кВ</t>
        </is>
      </c>
      <c r="G6" s="237" t="n"/>
      <c r="H6" s="238" t="n"/>
    </row>
    <row r="7" ht="14.25" customHeight="1" s="327">
      <c r="G7" s="237" t="n"/>
      <c r="H7" s="238" t="n"/>
    </row>
    <row r="8" ht="15.75" customHeight="1" s="327">
      <c r="C8" s="239" t="n"/>
      <c r="D8" s="261" t="n"/>
      <c r="E8" s="262" t="n"/>
      <c r="F8" s="260" t="n"/>
      <c r="G8" s="263" t="n"/>
      <c r="H8" s="244" t="n"/>
    </row>
    <row r="9" ht="38.25" customHeight="1" s="327">
      <c r="A9" s="358" t="inlineStr">
        <is>
          <t>п/п</t>
        </is>
      </c>
      <c r="B9" s="358" t="inlineStr">
        <is>
          <t>№ЛСР</t>
        </is>
      </c>
      <c r="C9" s="358" t="inlineStr">
        <is>
          <t>Код ресурса</t>
        </is>
      </c>
      <c r="D9" s="358" t="inlineStr">
        <is>
          <t>Наименование ресурса</t>
        </is>
      </c>
      <c r="E9" s="358" t="inlineStr">
        <is>
          <t>Ед. изм.</t>
        </is>
      </c>
      <c r="F9" s="358" t="inlineStr">
        <is>
          <t>Кол-во единиц по данным объекта-представителя</t>
        </is>
      </c>
      <c r="G9" s="358" t="inlineStr">
        <is>
          <t>Сметная стоимость в ценах на 01.01.2000 (руб.)</t>
        </is>
      </c>
      <c r="H9" s="436" t="n"/>
    </row>
    <row r="10" ht="40.5" customHeight="1" s="327">
      <c r="A10" s="438" t="n"/>
      <c r="B10" s="438" t="n"/>
      <c r="C10" s="438" t="n"/>
      <c r="D10" s="438" t="n"/>
      <c r="E10" s="438" t="n"/>
      <c r="F10" s="438" t="n"/>
      <c r="G10" s="358" t="inlineStr">
        <is>
          <t>на ед.изм.</t>
        </is>
      </c>
      <c r="H10" s="358" t="inlineStr">
        <is>
          <t>общая</t>
        </is>
      </c>
    </row>
    <row r="11" ht="15.75" customHeight="1" s="327">
      <c r="A11" s="358" t="n">
        <v>1</v>
      </c>
      <c r="B11" s="245" t="n"/>
      <c r="C11" s="358" t="n">
        <v>2</v>
      </c>
      <c r="D11" s="358" t="inlineStr">
        <is>
          <t>З</t>
        </is>
      </c>
      <c r="E11" s="358" t="n">
        <v>4</v>
      </c>
      <c r="F11" s="358" t="n">
        <v>5</v>
      </c>
      <c r="G11" s="245" t="n">
        <v>6</v>
      </c>
      <c r="H11" s="245" t="n">
        <v>7</v>
      </c>
    </row>
    <row r="12" ht="15" customHeight="1" s="327">
      <c r="A12" s="365" t="inlineStr">
        <is>
          <t>Затраты труда рабочих</t>
        </is>
      </c>
      <c r="B12" s="435" t="n"/>
      <c r="C12" s="435" t="n"/>
      <c r="D12" s="436" t="n"/>
      <c r="E12" s="246" t="n"/>
      <c r="F12" s="285">
        <f>SUM(F13:F13)</f>
        <v/>
      </c>
      <c r="G12" s="246" t="n"/>
      <c r="H12" s="286">
        <f>SUM(H13:H13)</f>
        <v/>
      </c>
    </row>
    <row r="13">
      <c r="A13" s="323" t="inlineStr">
        <is>
          <t>1</t>
        </is>
      </c>
      <c r="B13" s="323" t="n"/>
      <c r="C13" s="295" t="inlineStr">
        <is>
          <t>1-4-0</t>
        </is>
      </c>
      <c r="D13" s="247" t="inlineStr">
        <is>
          <t>Затраты труда рабочих (ср 4)</t>
        </is>
      </c>
      <c r="E13" s="390" t="inlineStr">
        <is>
          <t>чел.-ч</t>
        </is>
      </c>
      <c r="F13" s="295" t="n">
        <v>3.1</v>
      </c>
      <c r="G13" s="252" t="n">
        <v>9.619999999999999</v>
      </c>
      <c r="H13" s="293">
        <f>ROUND(F13*G13,2)</f>
        <v/>
      </c>
      <c r="J13" s="297">
        <f>(4*F13)/SUM(F13:F13)</f>
        <v/>
      </c>
      <c r="K13" s="249" t="n"/>
      <c r="L13" s="249" t="n"/>
    </row>
    <row r="14">
      <c r="A14" s="441" t="inlineStr">
        <is>
          <t>Затраты труда машинистов</t>
        </is>
      </c>
      <c r="B14" s="439" t="n"/>
      <c r="C14" s="439" t="n"/>
      <c r="D14" s="440" t="n"/>
      <c r="E14" s="390" t="n"/>
      <c r="F14" s="295" t="n"/>
      <c r="G14" s="252" t="n"/>
      <c r="H14" s="287">
        <f>H15</f>
        <v/>
      </c>
      <c r="L14" s="249" t="n"/>
    </row>
    <row r="15">
      <c r="A15" s="323" t="inlineStr">
        <is>
          <t>2</t>
        </is>
      </c>
      <c r="B15" s="280" t="n"/>
      <c r="C15" s="323" t="n">
        <v>2</v>
      </c>
      <c r="D15" s="380" t="inlineStr">
        <is>
          <t>Затраты труда машинистов</t>
        </is>
      </c>
      <c r="E15" s="377" t="inlineStr">
        <is>
          <t>чел.час</t>
        </is>
      </c>
      <c r="F15" s="377" t="n">
        <v>0.85</v>
      </c>
      <c r="G15" s="389" t="n"/>
      <c r="H15" s="389" t="n">
        <v>10.07</v>
      </c>
    </row>
    <row r="16" ht="15" customHeight="1" s="327">
      <c r="A16" s="365" t="inlineStr">
        <is>
          <t>Машины и механизмы</t>
        </is>
      </c>
      <c r="B16" s="435" t="n"/>
      <c r="C16" s="435" t="n"/>
      <c r="D16" s="436" t="n"/>
      <c r="E16" s="246" t="n"/>
      <c r="F16" s="246" t="n"/>
      <c r="G16" s="246" t="n"/>
      <c r="H16" s="288">
        <f>SUM(H17:H20)</f>
        <v/>
      </c>
      <c r="K16" s="249" t="n"/>
    </row>
    <row r="17" ht="25.5" customHeight="1" s="327">
      <c r="A17" s="377">
        <f>A15+1</f>
        <v/>
      </c>
      <c r="B17" s="323" t="n"/>
      <c r="C17" s="323" t="inlineStr">
        <is>
          <t>91.06.03-058</t>
        </is>
      </c>
      <c r="D17" s="380" t="inlineStr">
        <is>
          <t>Лебедки электрические тяговым усилием 156,96 кН (16 т)</t>
        </is>
      </c>
      <c r="E17" s="377" t="inlineStr">
        <is>
          <t>маш.час</t>
        </is>
      </c>
      <c r="F17" s="377" t="n">
        <v>0.5</v>
      </c>
      <c r="G17" s="382" t="n">
        <v>131.44</v>
      </c>
      <c r="H17" s="293">
        <f>ROUND(F17*G17,2)</f>
        <v/>
      </c>
      <c r="I17" s="253" t="n"/>
    </row>
    <row r="18" ht="25.5" customHeight="1" s="327">
      <c r="A18" s="377">
        <f>A17+1</f>
        <v/>
      </c>
      <c r="B18" s="323" t="n"/>
      <c r="C18" s="323" t="inlineStr">
        <is>
          <t>91.05.05-015</t>
        </is>
      </c>
      <c r="D18" s="380" t="inlineStr">
        <is>
          <t>Краны на автомобильном ходу, грузоподъемность 16 т</t>
        </is>
      </c>
      <c r="E18" s="377" t="inlineStr">
        <is>
          <t>маш.час</t>
        </is>
      </c>
      <c r="F18" s="377" t="n">
        <v>0.15</v>
      </c>
      <c r="G18" s="382" t="n">
        <v>115.4</v>
      </c>
      <c r="H18" s="293">
        <f>ROUND(F18*G18,2)</f>
        <v/>
      </c>
      <c r="I18" s="253" t="n"/>
    </row>
    <row r="19">
      <c r="A19" s="377">
        <f>A18+1</f>
        <v/>
      </c>
      <c r="B19" s="323" t="n"/>
      <c r="C19" s="323" t="inlineStr">
        <is>
          <t>91.14.02-001</t>
        </is>
      </c>
      <c r="D19" s="380" t="inlineStr">
        <is>
          <t>Автомобили бортовые, грузоподъемность до 5 т</t>
        </is>
      </c>
      <c r="E19" s="377" t="inlineStr">
        <is>
          <t>маш.час</t>
        </is>
      </c>
      <c r="F19" s="377" t="n">
        <v>0.15</v>
      </c>
      <c r="G19" s="382" t="n">
        <v>65.70999999999999</v>
      </c>
      <c r="H19" s="293">
        <f>ROUND(F19*G19,2)</f>
        <v/>
      </c>
      <c r="I19" s="253" t="n"/>
    </row>
    <row r="20">
      <c r="A20" s="377">
        <f>A19+1</f>
        <v/>
      </c>
      <c r="B20" s="323" t="n"/>
      <c r="C20" s="323" t="inlineStr">
        <is>
          <t>91.06.06-042</t>
        </is>
      </c>
      <c r="D20" s="380" t="inlineStr">
        <is>
          <t>Подъемники гидравлические, высота подъема 10 м</t>
        </is>
      </c>
      <c r="E20" s="377" t="inlineStr">
        <is>
          <t>маш.час</t>
        </is>
      </c>
      <c r="F20" s="377" t="n">
        <v>0.05</v>
      </c>
      <c r="G20" s="382" t="n">
        <v>29.6</v>
      </c>
      <c r="H20" s="293">
        <f>ROUND(F20*G20,2)</f>
        <v/>
      </c>
      <c r="I20" s="253" t="n"/>
    </row>
    <row r="21" ht="15" customHeight="1" s="327">
      <c r="A21" s="366" t="inlineStr">
        <is>
          <t>Оборудование</t>
        </is>
      </c>
      <c r="B21" s="435" t="n"/>
      <c r="C21" s="435" t="n"/>
      <c r="D21" s="436" t="n"/>
      <c r="E21" s="254" t="n"/>
      <c r="F21" s="255" t="n"/>
      <c r="G21" s="252" t="n"/>
      <c r="H21" s="291" t="n"/>
      <c r="I21" s="253" t="n"/>
    </row>
    <row r="22" ht="15" customHeight="1" s="327">
      <c r="A22" s="365" t="inlineStr">
        <is>
          <t>Материалы</t>
        </is>
      </c>
      <c r="B22" s="435" t="n"/>
      <c r="C22" s="435" t="n"/>
      <c r="D22" s="436" t="n"/>
      <c r="E22" s="276" t="n"/>
      <c r="F22" s="276" t="n"/>
      <c r="G22" s="246" t="n"/>
      <c r="H22" s="288">
        <f>SUM(H23:H32)</f>
        <v/>
      </c>
    </row>
    <row r="23">
      <c r="A23" s="377">
        <f>A20+1</f>
        <v/>
      </c>
      <c r="B23" s="323" t="n"/>
      <c r="C23" s="323" t="inlineStr">
        <is>
          <t>Прайс из СД ОП</t>
        </is>
      </c>
      <c r="D23" s="380" t="inlineStr">
        <is>
          <t>Изолятор подвесной стеклянный ПСД-70Е</t>
        </is>
      </c>
      <c r="E23" s="377" t="inlineStr">
        <is>
          <t>шт</t>
        </is>
      </c>
      <c r="F23" s="325" t="n">
        <v>5</v>
      </c>
      <c r="G23" s="382" t="n">
        <v>215.86</v>
      </c>
      <c r="H23" s="293">
        <f>ROUND(F23*G23,2)</f>
        <v/>
      </c>
      <c r="I23" s="253" t="n"/>
    </row>
    <row r="24">
      <c r="A24" s="377">
        <f>A23+1</f>
        <v/>
      </c>
      <c r="B24" s="323" t="n"/>
      <c r="C24" s="381" t="inlineStr">
        <is>
          <t>20.5.04.04-0052</t>
        </is>
      </c>
      <c r="D24" s="380" t="inlineStr">
        <is>
          <t>Зажим натяжной спиральный НС-15,2-02</t>
        </is>
      </c>
      <c r="E24" s="377" t="inlineStr">
        <is>
          <t>шт</t>
        </is>
      </c>
      <c r="F24" s="325" t="n">
        <v>1</v>
      </c>
      <c r="G24" s="382" t="n">
        <v>484.94</v>
      </c>
      <c r="H24" s="293">
        <f>ROUND(F24*G24,2)</f>
        <v/>
      </c>
      <c r="I24" s="253" t="n"/>
    </row>
    <row r="25">
      <c r="A25" s="377">
        <f>A24+1</f>
        <v/>
      </c>
      <c r="B25" s="323" t="n"/>
      <c r="C25" s="323" t="inlineStr">
        <is>
          <t>22.2.02.04-0035</t>
        </is>
      </c>
      <c r="D25" s="380" t="inlineStr">
        <is>
          <t>Звено промежуточное регулируемое ПРР-7-1</t>
        </is>
      </c>
      <c r="E25" s="377" t="inlineStr">
        <is>
          <t>шт</t>
        </is>
      </c>
      <c r="F25" s="377" t="n">
        <v>1</v>
      </c>
      <c r="G25" s="382" t="n">
        <v>121.66</v>
      </c>
      <c r="H25" s="293">
        <f>F25*G25</f>
        <v/>
      </c>
      <c r="I25" s="253" t="n"/>
    </row>
    <row r="26">
      <c r="A26" s="377">
        <f>A25+1</f>
        <v/>
      </c>
      <c r="B26" s="323" t="n"/>
      <c r="C26" s="323" t="inlineStr">
        <is>
          <t>01.7.15.10-0001</t>
        </is>
      </c>
      <c r="D26" s="380" t="inlineStr">
        <is>
          <t>Скобы длинные СКД-10-1</t>
        </is>
      </c>
      <c r="E26" s="377" t="inlineStr">
        <is>
          <t>шт</t>
        </is>
      </c>
      <c r="F26" s="377" t="n">
        <v>1</v>
      </c>
      <c r="G26" s="382" t="n">
        <v>45.18</v>
      </c>
      <c r="H26" s="293">
        <f>ROUND(F26*G26,2)</f>
        <v/>
      </c>
      <c r="I26" s="253" t="n"/>
    </row>
    <row r="27">
      <c r="A27" s="377">
        <f>A26+1</f>
        <v/>
      </c>
      <c r="B27" s="323" t="n"/>
      <c r="C27" s="323" t="inlineStr">
        <is>
          <t>20.1.02.22-0005</t>
        </is>
      </c>
      <c r="D27" s="380" t="inlineStr">
        <is>
          <t>Ушко: однолапчатое У1-7-16</t>
        </is>
      </c>
      <c r="E27" s="377" t="inlineStr">
        <is>
          <t>шт</t>
        </is>
      </c>
      <c r="F27" s="377" t="n">
        <v>1</v>
      </c>
      <c r="G27" s="382" t="n">
        <v>39.32</v>
      </c>
      <c r="H27" s="293">
        <f>ROUND(F27*G27,2)</f>
        <v/>
      </c>
      <c r="I27" s="253" t="n"/>
    </row>
    <row r="28">
      <c r="A28" s="377">
        <f>A27+1</f>
        <v/>
      </c>
      <c r="B28" s="323" t="n"/>
      <c r="C28" s="323" t="inlineStr">
        <is>
          <t>22.2.02.04-0041</t>
        </is>
      </c>
      <c r="D28" s="380" t="inlineStr">
        <is>
          <t>Звено промежуточное трехлапчатое ПРТ-7-1</t>
        </is>
      </c>
      <c r="E28" s="377" t="inlineStr">
        <is>
          <t>шт</t>
        </is>
      </c>
      <c r="F28" s="377" t="n">
        <v>1</v>
      </c>
      <c r="G28" s="382" t="n">
        <v>36.42</v>
      </c>
      <c r="H28" s="293">
        <f>ROUND(F28*G28,2)</f>
        <v/>
      </c>
      <c r="I28" s="253" t="n"/>
    </row>
    <row r="29">
      <c r="A29" s="377">
        <f>A28+1</f>
        <v/>
      </c>
      <c r="B29" s="323" t="n"/>
      <c r="C29" s="323" t="inlineStr">
        <is>
          <t>01.7.15.10-0031</t>
        </is>
      </c>
      <c r="D29" s="380" t="inlineStr">
        <is>
          <t>Скобы СК-7-1А</t>
        </is>
      </c>
      <c r="E29" s="377" t="inlineStr">
        <is>
          <t>шт</t>
        </is>
      </c>
      <c r="F29" s="377" t="n">
        <v>1</v>
      </c>
      <c r="G29" s="382" t="n">
        <v>28.07</v>
      </c>
      <c r="H29" s="293">
        <f>ROUND(F29*G29,2)</f>
        <v/>
      </c>
      <c r="I29" s="253" t="n"/>
    </row>
    <row r="30">
      <c r="A30" s="377">
        <f>A29+1</f>
        <v/>
      </c>
      <c r="B30" s="323" t="n"/>
      <c r="C30" s="323" t="inlineStr">
        <is>
          <t>22.2.02.04-0005</t>
        </is>
      </c>
      <c r="D30" s="380" t="inlineStr">
        <is>
          <t>Звено промежуточное монтажное ПТМ-7-2</t>
        </is>
      </c>
      <c r="E30" s="377" t="inlineStr">
        <is>
          <t>шт</t>
        </is>
      </c>
      <c r="F30" s="377" t="n">
        <v>1</v>
      </c>
      <c r="G30" s="382" t="n">
        <v>25.36</v>
      </c>
      <c r="H30" s="293">
        <f>ROUND(F30*G30,2)</f>
        <v/>
      </c>
      <c r="I30" s="253" t="n"/>
    </row>
    <row r="31">
      <c r="A31" s="377">
        <f>A30+1</f>
        <v/>
      </c>
      <c r="B31" s="323" t="n"/>
      <c r="C31" s="323" t="inlineStr">
        <is>
          <t>20.1.02.14-1014</t>
        </is>
      </c>
      <c r="D31" s="380" t="inlineStr">
        <is>
          <t>Серьга СР-7-16</t>
        </is>
      </c>
      <c r="E31" s="377" t="inlineStr">
        <is>
          <t>шт</t>
        </is>
      </c>
      <c r="F31" s="377" t="n">
        <v>1</v>
      </c>
      <c r="G31" s="382" t="n">
        <v>9.359999999999999</v>
      </c>
      <c r="H31" s="293">
        <f>ROUND(F31*G31,2)</f>
        <v/>
      </c>
      <c r="I31" s="253" t="n"/>
    </row>
    <row r="32" ht="25.5" customHeight="1" s="327">
      <c r="A32" s="377">
        <f>A31+1</f>
        <v/>
      </c>
      <c r="B32" s="323" t="n"/>
      <c r="C32" s="323" t="inlineStr">
        <is>
          <t>999-9950</t>
        </is>
      </c>
      <c r="D32" s="380" t="inlineStr">
        <is>
          <t>Вспомогательные ненормируемые ресурсы (2% от Оплаты труда рабочих)</t>
        </is>
      </c>
      <c r="E32" s="377" t="inlineStr">
        <is>
          <t>руб</t>
        </is>
      </c>
      <c r="F32" s="377" t="n">
        <v>0.5964</v>
      </c>
      <c r="G32" s="382" t="n">
        <v>1</v>
      </c>
      <c r="H32" s="293">
        <f>ROUND(F32*G32,2)</f>
        <v/>
      </c>
      <c r="I32" s="253" t="n"/>
    </row>
    <row r="33">
      <c r="C33" s="260" t="n"/>
      <c r="D33" s="261" t="n"/>
      <c r="E33" s="262" t="n"/>
      <c r="F33" s="262" t="n"/>
      <c r="G33" s="263" t="n"/>
      <c r="H33" s="264" t="n"/>
    </row>
    <row r="34" ht="25.5" customHeight="1" s="327">
      <c r="B34" s="256" t="inlineStr">
        <is>
          <t xml:space="preserve">Примечание: </t>
        </is>
      </c>
      <c r="C3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35">
      <c r="I35" s="257" t="n"/>
    </row>
    <row r="38" ht="14.25" customFormat="1" customHeight="1" s="343">
      <c r="A38" s="340" t="inlineStr">
        <is>
          <t>Составил ______________________    А.Р. Маркова</t>
        </is>
      </c>
    </row>
    <row r="39" ht="14.25" customFormat="1" customHeight="1" s="343">
      <c r="A39" s="342" t="inlineStr">
        <is>
          <t xml:space="preserve">                         (подпись, инициалы, фамилия)</t>
        </is>
      </c>
    </row>
    <row r="40" ht="14.25" customFormat="1" customHeight="1" s="343">
      <c r="A40" s="340" t="n"/>
    </row>
    <row r="41" ht="14.25" customFormat="1" customHeight="1" s="343">
      <c r="A41" s="340" t="inlineStr">
        <is>
          <t>Проверил ______________________        А.В. Костянецкая</t>
        </is>
      </c>
    </row>
    <row r="42" ht="14.25" customFormat="1" customHeight="1" s="343">
      <c r="A42" s="342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A21:D21"/>
    <mergeCell ref="C4:H4"/>
    <mergeCell ref="A16:D16"/>
    <mergeCell ref="C34:H34"/>
    <mergeCell ref="A3:I3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6" sqref="D46"/>
    </sheetView>
  </sheetViews>
  <sheetFormatPr baseColWidth="8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9.140625" customWidth="1" style="327" min="6" max="6"/>
    <col width="12.85546875" customWidth="1" style="327" min="7" max="7"/>
    <col width="9.140625" customWidth="1" style="327" min="8" max="11"/>
    <col width="13.5703125" customWidth="1" style="327" min="12" max="12"/>
    <col width="9.140625" customWidth="1" style="327" min="13" max="13"/>
  </cols>
  <sheetData>
    <row r="1">
      <c r="B1" s="340" t="n"/>
      <c r="C1" s="340" t="n"/>
      <c r="D1" s="340" t="n"/>
      <c r="E1" s="340" t="n"/>
    </row>
    <row r="2">
      <c r="B2" s="340" t="n"/>
      <c r="C2" s="340" t="n"/>
      <c r="D2" s="340" t="n"/>
      <c r="E2" s="385" t="inlineStr">
        <is>
          <t>Приложение № 4</t>
        </is>
      </c>
    </row>
    <row r="3">
      <c r="B3" s="340" t="n"/>
      <c r="C3" s="340" t="n"/>
      <c r="D3" s="340" t="n"/>
      <c r="E3" s="340" t="n"/>
    </row>
    <row r="4">
      <c r="B4" s="340" t="n"/>
      <c r="C4" s="340" t="n"/>
      <c r="D4" s="340" t="n"/>
      <c r="E4" s="340" t="n"/>
    </row>
    <row r="5">
      <c r="B5" s="344" t="inlineStr">
        <is>
          <t>Ресурсная модель</t>
        </is>
      </c>
    </row>
    <row r="6">
      <c r="B6" s="205" t="n"/>
      <c r="C6" s="340" t="n"/>
      <c r="D6" s="340" t="n"/>
      <c r="E6" s="340" t="n"/>
    </row>
    <row r="7" ht="25.5" customHeight="1" s="327">
      <c r="B7" s="372" t="inlineStr">
        <is>
          <t>Наименование разрабатываемого показателя УНЦ - Гирлянды изоляторов ВЛ напряжение 35 кВ</t>
        </is>
      </c>
    </row>
    <row r="8">
      <c r="B8" s="373" t="inlineStr">
        <is>
          <t>Единица измерения  — 1 гирлянда изоляторов</t>
        </is>
      </c>
    </row>
    <row r="9">
      <c r="B9" s="205" t="n"/>
      <c r="C9" s="340" t="n"/>
      <c r="D9" s="340" t="n"/>
      <c r="E9" s="340" t="n"/>
    </row>
    <row r="10" ht="51" customHeight="1" s="327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306" t="inlineStr">
        <is>
          <t>Оплата труда рабочих</t>
        </is>
      </c>
      <c r="C11" s="307">
        <f>'Прил.5 Расчет СМР и ОБ'!J15</f>
        <v/>
      </c>
      <c r="D11" s="308">
        <f>C11/$C$24</f>
        <v/>
      </c>
      <c r="E11" s="308">
        <f>C11/$C$40</f>
        <v/>
      </c>
    </row>
    <row r="12">
      <c r="B12" s="306" t="inlineStr">
        <is>
          <t>Эксплуатация машин основных</t>
        </is>
      </c>
      <c r="C12" s="307">
        <f>'Прил.5 Расчет СМР и ОБ'!J22</f>
        <v/>
      </c>
      <c r="D12" s="308">
        <f>C12/$C$24</f>
        <v/>
      </c>
      <c r="E12" s="308">
        <f>C12/$C$40</f>
        <v/>
      </c>
    </row>
    <row r="13">
      <c r="B13" s="306" t="inlineStr">
        <is>
          <t>Эксплуатация машин прочих</t>
        </is>
      </c>
      <c r="C13" s="307">
        <f>'Прил.5 Расчет СМР и ОБ'!J25</f>
        <v/>
      </c>
      <c r="D13" s="308">
        <f>C13/$C$24</f>
        <v/>
      </c>
      <c r="E13" s="308">
        <f>C13/$C$40</f>
        <v/>
      </c>
    </row>
    <row r="14">
      <c r="B14" s="306" t="inlineStr">
        <is>
          <t>ЭКСПЛУАТАЦИЯ МАШИН, ВСЕГО:</t>
        </is>
      </c>
      <c r="C14" s="307">
        <f>C13+C12</f>
        <v/>
      </c>
      <c r="D14" s="308">
        <f>C14/$C$24</f>
        <v/>
      </c>
      <c r="E14" s="308">
        <f>C14/$C$40</f>
        <v/>
      </c>
    </row>
    <row r="15">
      <c r="B15" s="306" t="inlineStr">
        <is>
          <t>в том числе зарплата машинистов</t>
        </is>
      </c>
      <c r="C15" s="307">
        <f>'Прил.5 Расчет СМР и ОБ'!J17</f>
        <v/>
      </c>
      <c r="D15" s="308">
        <f>C15/$C$24</f>
        <v/>
      </c>
      <c r="E15" s="308">
        <f>C15/$C$40</f>
        <v/>
      </c>
    </row>
    <row r="16">
      <c r="B16" s="306" t="inlineStr">
        <is>
          <t>Материалы основные</t>
        </is>
      </c>
      <c r="C16" s="307">
        <f>'Прил.5 Расчет СМР и ОБ'!J38</f>
        <v/>
      </c>
      <c r="D16" s="308">
        <f>C16/$C$24</f>
        <v/>
      </c>
      <c r="E16" s="308">
        <f>C16/$C$40</f>
        <v/>
      </c>
    </row>
    <row r="17">
      <c r="B17" s="306" t="inlineStr">
        <is>
          <t>Материалы прочие</t>
        </is>
      </c>
      <c r="C17" s="307">
        <f>'Прил.5 Расчет СМР и ОБ'!J46</f>
        <v/>
      </c>
      <c r="D17" s="308">
        <f>C17/$C$24</f>
        <v/>
      </c>
      <c r="E17" s="308">
        <f>C17/$C$40</f>
        <v/>
      </c>
      <c r="G17" s="206" t="n"/>
    </row>
    <row r="18">
      <c r="B18" s="306" t="inlineStr">
        <is>
          <t>МАТЕРИАЛЫ, ВСЕГО:</t>
        </is>
      </c>
      <c r="C18" s="307">
        <f>C17+C16</f>
        <v/>
      </c>
      <c r="D18" s="308">
        <f>C18/$C$24</f>
        <v/>
      </c>
      <c r="E18" s="308">
        <f>C18/$C$40</f>
        <v/>
      </c>
    </row>
    <row r="19">
      <c r="B19" s="306" t="inlineStr">
        <is>
          <t>ИТОГО</t>
        </is>
      </c>
      <c r="C19" s="307">
        <f>C18+C14+C11</f>
        <v/>
      </c>
      <c r="D19" s="308" t="n"/>
      <c r="E19" s="306" t="n"/>
    </row>
    <row r="20">
      <c r="B20" s="306" t="inlineStr">
        <is>
          <t>Сметная прибыль, руб.</t>
        </is>
      </c>
      <c r="C20" s="307">
        <f>ROUND(C21*(C11+C15),2)</f>
        <v/>
      </c>
      <c r="D20" s="308">
        <f>C20/$C$24</f>
        <v/>
      </c>
      <c r="E20" s="308">
        <f>C20/$C$40</f>
        <v/>
      </c>
    </row>
    <row r="21">
      <c r="B21" s="306" t="inlineStr">
        <is>
          <t>Сметная прибыль, %</t>
        </is>
      </c>
      <c r="C21" s="309">
        <f>'Прил.5 Расчет СМР и ОБ'!D50</f>
        <v/>
      </c>
      <c r="D21" s="308" t="n"/>
      <c r="E21" s="306" t="n"/>
    </row>
    <row r="22">
      <c r="B22" s="306" t="inlineStr">
        <is>
          <t>Накладные расходы, руб.</t>
        </is>
      </c>
      <c r="C22" s="307">
        <f>ROUND(C23*(C11+C15),2)</f>
        <v/>
      </c>
      <c r="D22" s="308">
        <f>C22/$C$24</f>
        <v/>
      </c>
      <c r="E22" s="308">
        <f>C22/$C$40</f>
        <v/>
      </c>
    </row>
    <row r="23">
      <c r="B23" s="306" t="inlineStr">
        <is>
          <t>Накладные расходы, %</t>
        </is>
      </c>
      <c r="C23" s="309">
        <f>'Прил.5 Расчет СМР и ОБ'!D49</f>
        <v/>
      </c>
      <c r="D23" s="308" t="n"/>
      <c r="E23" s="306" t="n"/>
    </row>
    <row r="24">
      <c r="B24" s="306" t="inlineStr">
        <is>
          <t>ВСЕГО СМР с НР и СП</t>
        </is>
      </c>
      <c r="C24" s="307">
        <f>C19+C20+C22</f>
        <v/>
      </c>
      <c r="D24" s="308">
        <f>C24/$C$24</f>
        <v/>
      </c>
      <c r="E24" s="308">
        <f>C24/$C$40</f>
        <v/>
      </c>
    </row>
    <row r="25" ht="25.5" customHeight="1" s="327">
      <c r="B25" s="306" t="inlineStr">
        <is>
          <t>ВСЕГО стоимость оборудования, в том числе</t>
        </is>
      </c>
      <c r="C25" s="307">
        <f>'Прил.5 Расчет СМР и ОБ'!J31</f>
        <v/>
      </c>
      <c r="D25" s="308" t="n"/>
      <c r="E25" s="308">
        <f>C25/$C$40</f>
        <v/>
      </c>
    </row>
    <row r="26" ht="25.5" customHeight="1" s="327">
      <c r="B26" s="306" t="inlineStr">
        <is>
          <t>стоимость оборудования технологического</t>
        </is>
      </c>
      <c r="C26" s="307">
        <f>C25</f>
        <v/>
      </c>
      <c r="D26" s="308" t="n"/>
      <c r="E26" s="308">
        <f>C26/$C$40</f>
        <v/>
      </c>
    </row>
    <row r="27">
      <c r="B27" s="306" t="inlineStr">
        <is>
          <t>ИТОГО (СМР + ОБОРУДОВАНИЕ)</t>
        </is>
      </c>
      <c r="C27" s="310">
        <f>C24+C25</f>
        <v/>
      </c>
      <c r="D27" s="308" t="n"/>
      <c r="E27" s="308">
        <f>C27/$C$40</f>
        <v/>
      </c>
    </row>
    <row r="28" ht="33" customHeight="1" s="327">
      <c r="B28" s="306" t="inlineStr">
        <is>
          <t>ПРОЧ. ЗАТР., УЧТЕННЫЕ ПОКАЗАТЕЛЕМ,  в том числе</t>
        </is>
      </c>
      <c r="C28" s="306" t="n"/>
      <c r="D28" s="306" t="n"/>
      <c r="E28" s="306" t="n"/>
    </row>
    <row r="29" ht="25.5" customHeight="1" s="327">
      <c r="B29" s="306" t="inlineStr">
        <is>
          <t>Временные здания и сооружения - 3,3%</t>
        </is>
      </c>
      <c r="C29" s="310">
        <f>ROUND(C24*3.3%,2)</f>
        <v/>
      </c>
      <c r="D29" s="306" t="n"/>
      <c r="E29" s="308">
        <f>C29/$C$40</f>
        <v/>
      </c>
    </row>
    <row r="30" ht="38.25" customHeight="1" s="327">
      <c r="B30" s="306" t="inlineStr">
        <is>
          <t>Дополнительные затраты при производстве строительно-монтажных работ в зимнее время - 1,0%</t>
        </is>
      </c>
      <c r="C30" s="310">
        <f>ROUND((C24+C29)*1%,2)</f>
        <v/>
      </c>
      <c r="D30" s="306" t="n"/>
      <c r="E30" s="308">
        <f>C30/$C$40</f>
        <v/>
      </c>
    </row>
    <row r="31" ht="25.5" customHeight="1" s="327">
      <c r="B31" s="306" t="inlineStr">
        <is>
          <t>Пусконаладочные работы (на основании СД ОП)</t>
        </is>
      </c>
      <c r="C31" s="310" t="n">
        <v>0</v>
      </c>
      <c r="D31" s="306" t="n"/>
      <c r="E31" s="308">
        <f>C31/$C$40</f>
        <v/>
      </c>
    </row>
    <row r="32" ht="25.5" customHeight="1" s="327">
      <c r="B32" s="306" t="inlineStr">
        <is>
          <t>Затраты по перевозке работников к месту работы и обратно</t>
        </is>
      </c>
      <c r="C32" s="310">
        <f>ROUND($C$27*0%,2)</f>
        <v/>
      </c>
      <c r="D32" s="306" t="n"/>
      <c r="E32" s="308">
        <f>C32/$C$40</f>
        <v/>
      </c>
    </row>
    <row r="33" ht="25.5" customHeight="1" s="327">
      <c r="B33" s="306" t="inlineStr">
        <is>
          <t>Затраты, связанные с осуществлением работ вахтовым методом</t>
        </is>
      </c>
      <c r="C33" s="310">
        <f>ROUND($C$27*0%,2)</f>
        <v/>
      </c>
      <c r="D33" s="306" t="n"/>
      <c r="E33" s="308">
        <f>C33/$C$40</f>
        <v/>
      </c>
    </row>
    <row r="34" ht="51" customHeight="1" s="327">
      <c r="B34" s="30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10">
        <f>ROUND($C$27*0%,2)</f>
        <v/>
      </c>
      <c r="D34" s="306" t="n"/>
      <c r="E34" s="308">
        <f>C34/$C$40</f>
        <v/>
      </c>
    </row>
    <row r="35" ht="76.5" customHeight="1" s="327">
      <c r="B35" s="30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10">
        <f>ROUND($C$27*0%,2)</f>
        <v/>
      </c>
      <c r="D35" s="306" t="n"/>
      <c r="E35" s="308">
        <f>C35/$C$40</f>
        <v/>
      </c>
    </row>
    <row r="36" ht="25.5" customHeight="1" s="327">
      <c r="B36" s="306" t="inlineStr">
        <is>
          <t>Строительный контроль и содержание службы заказчика - 2,14%</t>
        </is>
      </c>
      <c r="C36" s="310">
        <f>ROUND((C27+C32+C33+C34+C35+C29+C31+C30)*2.14%,2)</f>
        <v/>
      </c>
      <c r="D36" s="306" t="n"/>
      <c r="E36" s="308">
        <f>C36/$C$40</f>
        <v/>
      </c>
      <c r="G36" s="169" t="n"/>
      <c r="L36" s="207" t="n"/>
    </row>
    <row r="37">
      <c r="B37" s="306" t="inlineStr">
        <is>
          <t>Авторский надзор - 0,2%</t>
        </is>
      </c>
      <c r="C37" s="310">
        <f>ROUND((C27+C32+C33+C34+C35+C29+C31+C30)*0.2%,2)</f>
        <v/>
      </c>
      <c r="D37" s="306" t="n"/>
      <c r="E37" s="308">
        <f>C37/$C$40</f>
        <v/>
      </c>
      <c r="G37" s="169" t="n"/>
      <c r="L37" s="207" t="n"/>
    </row>
    <row r="38" ht="38.25" customHeight="1" s="327">
      <c r="B38" s="306" t="inlineStr">
        <is>
          <t>ИТОГО (СМР+ОБОРУДОВАНИЕ+ПРОЧ. ЗАТР., УЧТЕННЫЕ ПОКАЗАТЕЛЕМ)</t>
        </is>
      </c>
      <c r="C38" s="307">
        <f>C27+C32+C33+C34+C35+C29+C31+C30+C36+C37</f>
        <v/>
      </c>
      <c r="D38" s="306" t="n"/>
      <c r="E38" s="308">
        <f>C38/$C$40</f>
        <v/>
      </c>
    </row>
    <row r="39" ht="13.5" customHeight="1" s="327">
      <c r="B39" s="306" t="inlineStr">
        <is>
          <t>Непредвиденные расходы</t>
        </is>
      </c>
      <c r="C39" s="307">
        <f>ROUND(C38*3%,2)</f>
        <v/>
      </c>
      <c r="D39" s="306" t="n"/>
      <c r="E39" s="308">
        <f>C39/$C$38</f>
        <v/>
      </c>
    </row>
    <row r="40">
      <c r="B40" s="306" t="inlineStr">
        <is>
          <t>ВСЕГО:</t>
        </is>
      </c>
      <c r="C40" s="307">
        <f>C39+C38</f>
        <v/>
      </c>
      <c r="D40" s="306" t="n"/>
      <c r="E40" s="308">
        <f>C40/$C$40</f>
        <v/>
      </c>
    </row>
    <row r="41">
      <c r="B41" s="306" t="inlineStr">
        <is>
          <t>ИТОГО ПОКАЗАТЕЛЬ НА ЕД. ИЗМ.</t>
        </is>
      </c>
      <c r="C41" s="307">
        <f>C40/'Прил.5 Расчет СМР и ОБ'!E53</f>
        <v/>
      </c>
      <c r="D41" s="306" t="n"/>
      <c r="E41" s="306" t="n"/>
    </row>
    <row r="42">
      <c r="B42" s="208" t="n"/>
      <c r="C42" s="340" t="n"/>
      <c r="D42" s="340" t="n"/>
      <c r="E42" s="340" t="n"/>
    </row>
    <row r="43">
      <c r="B43" s="208" t="inlineStr">
        <is>
          <t>Составил ____________________________А.Р. Маркова</t>
        </is>
      </c>
      <c r="C43" s="340" t="n"/>
      <c r="D43" s="340" t="n"/>
      <c r="E43" s="340" t="n"/>
    </row>
    <row r="44">
      <c r="B44" s="208" t="inlineStr">
        <is>
          <t xml:space="preserve">(должность, подпись, инициалы, фамилия) </t>
        </is>
      </c>
      <c r="C44" s="340" t="n"/>
      <c r="D44" s="340" t="n"/>
      <c r="E44" s="340" t="n"/>
    </row>
    <row r="45">
      <c r="B45" s="208" t="n"/>
      <c r="C45" s="340" t="n"/>
      <c r="D45" s="340" t="n"/>
      <c r="E45" s="340" t="n"/>
    </row>
    <row r="46">
      <c r="B46" s="208" t="inlineStr">
        <is>
          <t>Проверил ____________________________ А.В. Костянецкая</t>
        </is>
      </c>
      <c r="C46" s="340" t="n"/>
      <c r="D46" s="340" t="n"/>
      <c r="E46" s="340" t="n"/>
    </row>
    <row r="47">
      <c r="B47" s="373" t="inlineStr">
        <is>
          <t>(должность, подпись, инициалы, фамилия)</t>
        </is>
      </c>
      <c r="D47" s="340" t="n"/>
      <c r="E47" s="340" t="n"/>
    </row>
    <row r="49">
      <c r="B49" s="340" t="n"/>
      <c r="C49" s="340" t="n"/>
      <c r="D49" s="340" t="n"/>
      <c r="E49" s="340" t="n"/>
    </row>
    <row r="50">
      <c r="B50" s="340" t="n"/>
      <c r="C50" s="340" t="n"/>
      <c r="D50" s="340" t="n"/>
      <c r="E50" s="34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9"/>
  <sheetViews>
    <sheetView view="pageBreakPreview" topLeftCell="A40" zoomScale="85" workbookViewId="0">
      <selection activeCell="D57" sqref="D57"/>
    </sheetView>
  </sheetViews>
  <sheetFormatPr baseColWidth="8" defaultColWidth="9.140625" defaultRowHeight="15" outlineLevelRow="1"/>
  <cols>
    <col width="5.7109375" customWidth="1" style="343" min="1" max="1"/>
    <col width="22.5703125" customWidth="1" style="343" min="2" max="2"/>
    <col width="39.140625" customWidth="1" style="343" min="3" max="3"/>
    <col width="12.7109375" customWidth="1" style="343" min="4" max="5"/>
    <col width="14.5703125" customWidth="1" style="343" min="6" max="6"/>
    <col width="13.42578125" customWidth="1" style="343" min="7" max="7"/>
    <col width="12.7109375" customWidth="1" style="343" min="8" max="8"/>
    <col width="13.85546875" customWidth="1" style="343" min="9" max="9"/>
    <col width="17.5703125" customWidth="1" style="343" min="10" max="10"/>
    <col width="10.85546875" customWidth="1" style="343" min="11" max="11"/>
    <col width="9.140625" customWidth="1" style="343" min="12" max="12"/>
    <col width="9.140625" customWidth="1" style="327" min="13" max="13"/>
  </cols>
  <sheetData>
    <row r="1" s="327">
      <c r="A1" s="343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343" t="n"/>
      <c r="M1" s="343" t="n"/>
      <c r="N1" s="343" t="n"/>
    </row>
    <row r="2" ht="15.75" customHeight="1" s="327">
      <c r="A2" s="343" t="n"/>
      <c r="B2" s="343" t="n"/>
      <c r="C2" s="343" t="n"/>
      <c r="D2" s="343" t="n"/>
      <c r="E2" s="343" t="n"/>
      <c r="F2" s="343" t="n"/>
      <c r="G2" s="343" t="n"/>
      <c r="H2" s="374" t="inlineStr">
        <is>
          <t>Приложение №5</t>
        </is>
      </c>
      <c r="K2" s="343" t="n"/>
      <c r="L2" s="343" t="n"/>
      <c r="M2" s="343" t="n"/>
      <c r="N2" s="343" t="n"/>
    </row>
    <row r="3" s="327">
      <c r="A3" s="343" t="n"/>
      <c r="B3" s="343" t="n"/>
      <c r="C3" s="343" t="n"/>
      <c r="D3" s="343" t="n"/>
      <c r="E3" s="343" t="n"/>
      <c r="F3" s="343" t="n"/>
      <c r="G3" s="343" t="n"/>
      <c r="H3" s="343" t="n"/>
      <c r="I3" s="343" t="n"/>
      <c r="J3" s="343" t="n"/>
      <c r="K3" s="343" t="n"/>
      <c r="L3" s="343" t="n"/>
      <c r="M3" s="343" t="n"/>
      <c r="N3" s="343" t="n"/>
    </row>
    <row r="4" ht="12.75" customFormat="1" customHeight="1" s="340">
      <c r="A4" s="344" t="inlineStr">
        <is>
          <t>Расчет стоимости СМР и оборудования</t>
        </is>
      </c>
    </row>
    <row r="5" ht="12.75" customFormat="1" customHeight="1" s="340">
      <c r="A5" s="344" t="n"/>
      <c r="B5" s="344" t="n"/>
      <c r="C5" s="392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40">
      <c r="A6" s="347" t="inlineStr">
        <is>
          <t>Наименование разрабатываемого показателя УНЦ</t>
        </is>
      </c>
      <c r="D6" s="347" t="inlineStr">
        <is>
          <t>Гирлянды изоляторов ВЛ напряжение 35 кВ</t>
        </is>
      </c>
    </row>
    <row r="7" ht="12.75" customFormat="1" customHeight="1" s="340">
      <c r="A7" s="347" t="inlineStr">
        <is>
          <t>Единица измерения  — 1 гирлянда изоляторов</t>
        </is>
      </c>
      <c r="I7" s="372" t="n"/>
      <c r="J7" s="372" t="n"/>
    </row>
    <row r="8" ht="13.5" customFormat="1" customHeight="1" s="340">
      <c r="A8" s="347" t="n"/>
    </row>
    <row r="9" ht="13.15" customFormat="1" customHeight="1" s="340"/>
    <row r="10" ht="27" customHeight="1" s="327">
      <c r="A10" s="377" t="inlineStr">
        <is>
          <t>№ пп.</t>
        </is>
      </c>
      <c r="B10" s="377" t="inlineStr">
        <is>
          <t>Код ресурса</t>
        </is>
      </c>
      <c r="C10" s="377" t="inlineStr">
        <is>
          <t>Наименование</t>
        </is>
      </c>
      <c r="D10" s="377" t="inlineStr">
        <is>
          <t>Ед. изм.</t>
        </is>
      </c>
      <c r="E10" s="377" t="inlineStr">
        <is>
          <t>Кол-во единиц по проектным данным</t>
        </is>
      </c>
      <c r="F10" s="377" t="inlineStr">
        <is>
          <t>Сметная стоимость в ценах на 01.01.2000 (руб.)</t>
        </is>
      </c>
      <c r="G10" s="436" t="n"/>
      <c r="H10" s="377" t="inlineStr">
        <is>
          <t>Удельный вес, %</t>
        </is>
      </c>
      <c r="I10" s="377" t="inlineStr">
        <is>
          <t>Сметная стоимость в ценах на 01.01.2023 (руб.)</t>
        </is>
      </c>
      <c r="J10" s="436" t="n"/>
      <c r="K10" s="343" t="n"/>
      <c r="L10" s="343" t="n"/>
      <c r="M10" s="343" t="n"/>
      <c r="N10" s="343" t="n"/>
    </row>
    <row r="11" ht="28.5" customHeight="1" s="327">
      <c r="A11" s="438" t="n"/>
      <c r="B11" s="438" t="n"/>
      <c r="C11" s="438" t="n"/>
      <c r="D11" s="438" t="n"/>
      <c r="E11" s="438" t="n"/>
      <c r="F11" s="377" t="inlineStr">
        <is>
          <t>на ед. изм.</t>
        </is>
      </c>
      <c r="G11" s="377" t="inlineStr">
        <is>
          <t>общая</t>
        </is>
      </c>
      <c r="H11" s="438" t="n"/>
      <c r="I11" s="377" t="inlineStr">
        <is>
          <t>на ед. изм.</t>
        </is>
      </c>
      <c r="J11" s="377" t="inlineStr">
        <is>
          <t>общая</t>
        </is>
      </c>
      <c r="K11" s="343" t="n"/>
      <c r="L11" s="343" t="n"/>
      <c r="M11" s="343" t="n"/>
      <c r="N11" s="343" t="n"/>
    </row>
    <row r="12" s="327">
      <c r="A12" s="377" t="n">
        <v>1</v>
      </c>
      <c r="B12" s="377" t="n">
        <v>2</v>
      </c>
      <c r="C12" s="377" t="n">
        <v>3</v>
      </c>
      <c r="D12" s="377" t="n">
        <v>4</v>
      </c>
      <c r="E12" s="377" t="n">
        <v>5</v>
      </c>
      <c r="F12" s="377" t="n">
        <v>6</v>
      </c>
      <c r="G12" s="377" t="n">
        <v>7</v>
      </c>
      <c r="H12" s="377" t="n">
        <v>8</v>
      </c>
      <c r="I12" s="378" t="n">
        <v>9</v>
      </c>
      <c r="J12" s="378" t="n">
        <v>10</v>
      </c>
      <c r="K12" s="343" t="n"/>
      <c r="L12" s="343" t="n"/>
      <c r="M12" s="343" t="n"/>
      <c r="N12" s="343" t="n"/>
    </row>
    <row r="13">
      <c r="A13" s="377" t="n"/>
      <c r="B13" s="384" t="inlineStr">
        <is>
          <t>Затраты труда рабочих-строителей</t>
        </is>
      </c>
      <c r="C13" s="435" t="n"/>
      <c r="D13" s="435" t="n"/>
      <c r="E13" s="435" t="n"/>
      <c r="F13" s="435" t="n"/>
      <c r="G13" s="435" t="n"/>
      <c r="H13" s="436" t="n"/>
      <c r="I13" s="302" t="n"/>
      <c r="J13" s="302" t="n"/>
    </row>
    <row r="14" ht="25.5" customHeight="1" s="327">
      <c r="A14" s="377" t="n">
        <v>1</v>
      </c>
      <c r="B14" s="323" t="inlineStr">
        <is>
          <t>1-4-0</t>
        </is>
      </c>
      <c r="C14" s="380" t="inlineStr">
        <is>
          <t>Затраты труда рабочих-строителей среднего разряда (4,0)</t>
        </is>
      </c>
      <c r="D14" s="377" t="inlineStr">
        <is>
          <t>чел.-ч.</t>
        </is>
      </c>
      <c r="E14" s="299">
        <f>G14/F14</f>
        <v/>
      </c>
      <c r="F14" s="293" t="n">
        <v>9.619999999999999</v>
      </c>
      <c r="G14" s="293">
        <f>SUM(Прил.3!H13:H13)</f>
        <v/>
      </c>
      <c r="H14" s="268">
        <f>G14/G15</f>
        <v/>
      </c>
      <c r="I14" s="293">
        <f>ФОТр.тек.!E13</f>
        <v/>
      </c>
      <c r="J14" s="293">
        <f>ROUND(I14*E14,2)</f>
        <v/>
      </c>
    </row>
    <row r="15" ht="25.5" customFormat="1" customHeight="1" s="343">
      <c r="A15" s="377" t="n"/>
      <c r="B15" s="377" t="n"/>
      <c r="C15" s="384" t="inlineStr">
        <is>
          <t>Итого по разделу "Затраты труда рабочих-строителей"</t>
        </is>
      </c>
      <c r="D15" s="377" t="inlineStr">
        <is>
          <t>чел.-ч.</t>
        </is>
      </c>
      <c r="E15" s="299">
        <f>SUM(E14:E14)</f>
        <v/>
      </c>
      <c r="F15" s="293" t="n"/>
      <c r="G15" s="293">
        <f>SUM(G14:G14)</f>
        <v/>
      </c>
      <c r="H15" s="383" t="n">
        <v>1</v>
      </c>
      <c r="I15" s="302" t="n"/>
      <c r="J15" s="293">
        <f>SUM(J14:J14)</f>
        <v/>
      </c>
    </row>
    <row r="16" ht="14.25" customFormat="1" customHeight="1" s="343">
      <c r="A16" s="377" t="n"/>
      <c r="B16" s="380" t="inlineStr">
        <is>
          <t>Затраты труда машинистов</t>
        </is>
      </c>
      <c r="C16" s="435" t="n"/>
      <c r="D16" s="435" t="n"/>
      <c r="E16" s="435" t="n"/>
      <c r="F16" s="435" t="n"/>
      <c r="G16" s="435" t="n"/>
      <c r="H16" s="436" t="n"/>
      <c r="I16" s="302" t="n"/>
      <c r="J16" s="302" t="n"/>
    </row>
    <row r="17" ht="14.25" customFormat="1" customHeight="1" s="343">
      <c r="A17" s="377" t="n">
        <v>2</v>
      </c>
      <c r="B17" s="377" t="n">
        <v>2</v>
      </c>
      <c r="C17" s="380" t="inlineStr">
        <is>
          <t>Затраты труда машинистов</t>
        </is>
      </c>
      <c r="D17" s="377" t="inlineStr">
        <is>
          <t>чел.-ч.</t>
        </is>
      </c>
      <c r="E17" s="223">
        <f>Прил.3!F15</f>
        <v/>
      </c>
      <c r="F17" s="293">
        <f>G17/E17</f>
        <v/>
      </c>
      <c r="G17" s="293">
        <f>Прил.3!H15</f>
        <v/>
      </c>
      <c r="H17" s="383" t="n">
        <v>1</v>
      </c>
      <c r="I17" s="293">
        <f>ROUND(F17*Прил.10!D11,2)</f>
        <v/>
      </c>
      <c r="J17" s="293">
        <f>ROUND(I17*E17,2)</f>
        <v/>
      </c>
    </row>
    <row r="18" ht="14.25" customFormat="1" customHeight="1" s="343">
      <c r="A18" s="377" t="n"/>
      <c r="B18" s="384" t="inlineStr">
        <is>
          <t>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302" t="n"/>
      <c r="J18" s="302" t="n"/>
    </row>
    <row r="19" ht="14.25" customFormat="1" customHeight="1" s="343">
      <c r="A19" s="377" t="n"/>
      <c r="B19" s="380" t="inlineStr">
        <is>
          <t>Основные машины и механизмы</t>
        </is>
      </c>
      <c r="C19" s="435" t="n"/>
      <c r="D19" s="435" t="n"/>
      <c r="E19" s="435" t="n"/>
      <c r="F19" s="435" t="n"/>
      <c r="G19" s="435" t="n"/>
      <c r="H19" s="436" t="n"/>
      <c r="I19" s="302" t="n"/>
      <c r="J19" s="302" t="n"/>
    </row>
    <row r="20" ht="25.5" customFormat="1" customHeight="1" s="343">
      <c r="A20" s="377" t="n">
        <v>3</v>
      </c>
      <c r="B20" s="323" t="inlineStr">
        <is>
          <t>91.06.03-058</t>
        </is>
      </c>
      <c r="C20" s="380" t="inlineStr">
        <is>
          <t>Лебедки электрические тяговым усилием 156,96 кН (16 т)</t>
        </is>
      </c>
      <c r="D20" s="377" t="inlineStr">
        <is>
          <t>маш.час</t>
        </is>
      </c>
      <c r="E20" s="223" t="n">
        <v>0.5</v>
      </c>
      <c r="F20" s="382" t="n">
        <v>131.44</v>
      </c>
      <c r="G20" s="293">
        <f>ROUND(E20*F20,2)</f>
        <v/>
      </c>
      <c r="H20" s="268">
        <f>G20/$G$26</f>
        <v/>
      </c>
      <c r="I20" s="293">
        <f>ROUND(F20*Прил.10!D12,2)</f>
        <v/>
      </c>
      <c r="J20" s="293">
        <f>ROUND(I20*E20,2)</f>
        <v/>
      </c>
    </row>
    <row r="21" ht="25.5" customFormat="1" customHeight="1" s="343">
      <c r="A21" s="377" t="n">
        <v>4</v>
      </c>
      <c r="B21" s="323" t="inlineStr">
        <is>
          <t>91.05.05-015</t>
        </is>
      </c>
      <c r="C21" s="380" t="inlineStr">
        <is>
          <t>Краны на автомобильном ходу, грузоподъемность 16 т</t>
        </is>
      </c>
      <c r="D21" s="377" t="inlineStr">
        <is>
          <t>маш.час</t>
        </is>
      </c>
      <c r="E21" s="223" t="n">
        <v>0.15</v>
      </c>
      <c r="F21" s="382" t="n">
        <v>115.4</v>
      </c>
      <c r="G21" s="293">
        <f>ROUND(E21*F21,2)</f>
        <v/>
      </c>
      <c r="H21" s="268">
        <f>G21/$G$26</f>
        <v/>
      </c>
      <c r="I21" s="293">
        <f>ROUND(F21*Прил.10!D12,2)</f>
        <v/>
      </c>
      <c r="J21" s="293">
        <f>ROUND(I21*E21,2)</f>
        <v/>
      </c>
    </row>
    <row r="22" ht="14.25" customFormat="1" customHeight="1" s="343">
      <c r="A22" s="377" t="n"/>
      <c r="B22" s="377" t="n"/>
      <c r="C22" s="380" t="inlineStr">
        <is>
          <t>Итого основные машины и механизмы</t>
        </is>
      </c>
      <c r="D22" s="377" t="n"/>
      <c r="E22" s="223" t="n"/>
      <c r="F22" s="293" t="n"/>
      <c r="G22" s="293">
        <f>SUM(G20:G21)</f>
        <v/>
      </c>
      <c r="H22" s="383">
        <f>G22/G26</f>
        <v/>
      </c>
      <c r="I22" s="303" t="n"/>
      <c r="J22" s="293">
        <f>SUM(J20:J21)</f>
        <v/>
      </c>
    </row>
    <row r="23" outlineLevel="1" ht="25.5" customFormat="1" customHeight="1" s="343">
      <c r="A23" s="377" t="n">
        <v>5</v>
      </c>
      <c r="B23" s="323" t="inlineStr">
        <is>
          <t>91.14.02-001</t>
        </is>
      </c>
      <c r="C23" s="380" t="inlineStr">
        <is>
          <t>Автомобили бортовые, грузоподъемность до 5 т</t>
        </is>
      </c>
      <c r="D23" s="377" t="inlineStr">
        <is>
          <t>маш.час</t>
        </is>
      </c>
      <c r="E23" s="223" t="n">
        <v>0.15</v>
      </c>
      <c r="F23" s="382" t="n">
        <v>65.70999999999999</v>
      </c>
      <c r="G23" s="293">
        <f>ROUND(E23*F23,2)</f>
        <v/>
      </c>
      <c r="H23" s="268">
        <f>G23/$G$26</f>
        <v/>
      </c>
      <c r="I23" s="389">
        <f>ROUND(F23*Прил.10!$D$12,2)</f>
        <v/>
      </c>
      <c r="J23" s="293">
        <f>ROUND(I23*E23,2)</f>
        <v/>
      </c>
    </row>
    <row r="24" outlineLevel="1" ht="25.5" customFormat="1" customHeight="1" s="343">
      <c r="A24" s="377" t="n">
        <v>6</v>
      </c>
      <c r="B24" s="323" t="inlineStr">
        <is>
          <t>91.06.06-042</t>
        </is>
      </c>
      <c r="C24" s="380" t="inlineStr">
        <is>
          <t>Подъемники гидравлические, высота подъема 10 м</t>
        </is>
      </c>
      <c r="D24" s="377" t="inlineStr">
        <is>
          <t>маш.час</t>
        </is>
      </c>
      <c r="E24" s="223" t="n">
        <v>0.05</v>
      </c>
      <c r="F24" s="382" t="n">
        <v>29.6</v>
      </c>
      <c r="G24" s="293">
        <f>ROUND(E24*F24,2)</f>
        <v/>
      </c>
      <c r="H24" s="268">
        <f>G24/$G$26</f>
        <v/>
      </c>
      <c r="I24" s="389">
        <f>ROUND(F24*Прил.10!$D$12,2)</f>
        <v/>
      </c>
      <c r="J24" s="293">
        <f>ROUND(I24*E24,2)</f>
        <v/>
      </c>
    </row>
    <row r="25" ht="14.25" customFormat="1" customHeight="1" s="343">
      <c r="A25" s="377" t="n"/>
      <c r="B25" s="377" t="n"/>
      <c r="C25" s="380" t="inlineStr">
        <is>
          <t>Итого прочие машины и механизмы</t>
        </is>
      </c>
      <c r="D25" s="377" t="n"/>
      <c r="E25" s="381" t="n"/>
      <c r="F25" s="293" t="n"/>
      <c r="G25" s="303">
        <f>SUM(G23:G24)</f>
        <v/>
      </c>
      <c r="H25" s="268">
        <f>G25/G26</f>
        <v/>
      </c>
      <c r="I25" s="293" t="n"/>
      <c r="J25" s="293">
        <f>SUM(J23:J24)</f>
        <v/>
      </c>
    </row>
    <row r="26" ht="25.5" customFormat="1" customHeight="1" s="343">
      <c r="A26" s="377" t="n"/>
      <c r="B26" s="377" t="n"/>
      <c r="C26" s="384" t="inlineStr">
        <is>
          <t>Итого по разделу «Машины и механизмы»</t>
        </is>
      </c>
      <c r="D26" s="377" t="n"/>
      <c r="E26" s="381" t="n"/>
      <c r="F26" s="293" t="n"/>
      <c r="G26" s="293">
        <f>G25+G22</f>
        <v/>
      </c>
      <c r="H26" s="230" t="n">
        <v>1</v>
      </c>
      <c r="I26" s="231" t="n"/>
      <c r="J26" s="232">
        <f>J25+J22</f>
        <v/>
      </c>
    </row>
    <row r="27" ht="30" customHeight="1" s="327">
      <c r="A27" s="377" t="n"/>
      <c r="B27" s="384" t="inlineStr">
        <is>
          <t xml:space="preserve">Оборудование </t>
        </is>
      </c>
      <c r="C27" s="435" t="n"/>
      <c r="D27" s="435" t="n"/>
      <c r="E27" s="435" t="n"/>
      <c r="F27" s="435" t="n"/>
      <c r="G27" s="435" t="n"/>
      <c r="H27" s="435" t="n"/>
      <c r="I27" s="435" t="n"/>
      <c r="J27" s="436" t="n"/>
      <c r="K27" s="343" t="n"/>
      <c r="L27" s="343" t="n"/>
    </row>
    <row r="28">
      <c r="A28" s="377" t="n"/>
      <c r="B28" s="380" t="inlineStr">
        <is>
          <t>Основное оборудование</t>
        </is>
      </c>
      <c r="C28" s="435" t="n"/>
      <c r="D28" s="435" t="n"/>
      <c r="E28" s="435" t="n"/>
      <c r="F28" s="435" t="n"/>
      <c r="G28" s="435" t="n"/>
      <c r="H28" s="436" t="n"/>
      <c r="I28" s="302" t="n"/>
      <c r="J28" s="302" t="n"/>
      <c r="K28" s="343" t="n"/>
      <c r="L28" s="343" t="n"/>
    </row>
    <row r="29">
      <c r="A29" s="377" t="n"/>
      <c r="B29" s="377" t="n"/>
      <c r="C29" s="380" t="inlineStr">
        <is>
          <t>Итого основное оборудование</t>
        </is>
      </c>
      <c r="D29" s="377" t="n"/>
      <c r="E29" s="223" t="n"/>
      <c r="F29" s="382" t="n"/>
      <c r="G29" s="293" t="n">
        <v>0</v>
      </c>
      <c r="H29" s="383" t="n">
        <v>0</v>
      </c>
      <c r="I29" s="303" t="n"/>
      <c r="J29" s="293" t="n">
        <v>0</v>
      </c>
      <c r="K29" s="343" t="n"/>
      <c r="L29" s="343" t="n"/>
    </row>
    <row r="30">
      <c r="A30" s="377" t="n"/>
      <c r="B30" s="377" t="n"/>
      <c r="C30" s="380" t="inlineStr">
        <is>
          <t>Итого прочее оборудование</t>
        </is>
      </c>
      <c r="D30" s="377" t="n"/>
      <c r="E30" s="223" t="n"/>
      <c r="F30" s="382" t="n"/>
      <c r="G30" s="293" t="n">
        <v>0</v>
      </c>
      <c r="H30" s="383" t="n">
        <v>0</v>
      </c>
      <c r="I30" s="303" t="n"/>
      <c r="J30" s="293" t="n">
        <v>0</v>
      </c>
      <c r="K30" s="343" t="n"/>
      <c r="L30" s="343" t="n"/>
    </row>
    <row r="31">
      <c r="A31" s="377" t="n"/>
      <c r="B31" s="377" t="n"/>
      <c r="C31" s="384" t="inlineStr">
        <is>
          <t>Итого по разделу «Оборудование»</t>
        </is>
      </c>
      <c r="D31" s="377" t="n"/>
      <c r="E31" s="381" t="n"/>
      <c r="F31" s="382" t="n"/>
      <c r="G31" s="293">
        <f>G29+G30</f>
        <v/>
      </c>
      <c r="H31" s="383" t="n">
        <v>0</v>
      </c>
      <c r="I31" s="303" t="n"/>
      <c r="J31" s="293">
        <f>J30+J29</f>
        <v/>
      </c>
      <c r="K31" s="343" t="n"/>
      <c r="L31" s="343" t="n"/>
    </row>
    <row r="32" ht="25.5" customHeight="1" s="327">
      <c r="A32" s="377" t="n"/>
      <c r="B32" s="377" t="n"/>
      <c r="C32" s="380" t="inlineStr">
        <is>
          <t>в том числе технологическое оборудование</t>
        </is>
      </c>
      <c r="D32" s="377" t="n"/>
      <c r="E32" s="304" t="n"/>
      <c r="F32" s="382" t="n"/>
      <c r="G32" s="293">
        <f>G31</f>
        <v/>
      </c>
      <c r="H32" s="383" t="n"/>
      <c r="I32" s="303" t="n"/>
      <c r="J32" s="293">
        <f>J31</f>
        <v/>
      </c>
      <c r="K32" s="343" t="n"/>
      <c r="L32" s="343" t="n"/>
    </row>
    <row r="33" ht="41.25" customFormat="1" customHeight="1" s="343">
      <c r="A33" s="377" t="n"/>
      <c r="B33" s="384" t="inlineStr">
        <is>
          <t xml:space="preserve">Материалы  </t>
        </is>
      </c>
      <c r="C33" s="435" t="n"/>
      <c r="D33" s="435" t="n"/>
      <c r="E33" s="435" t="n"/>
      <c r="F33" s="435" t="n"/>
      <c r="G33" s="435" t="n"/>
      <c r="H33" s="435" t="n"/>
      <c r="I33" s="435" t="n"/>
      <c r="J33" s="436" t="n"/>
    </row>
    <row r="34" ht="14.25" customFormat="1" customHeight="1" s="343">
      <c r="A34" s="377" t="n"/>
      <c r="B34" s="380" t="inlineStr">
        <is>
          <t>Основные материалы</t>
        </is>
      </c>
      <c r="C34" s="435" t="n"/>
      <c r="D34" s="435" t="n"/>
      <c r="E34" s="435" t="n"/>
      <c r="F34" s="435" t="n"/>
      <c r="G34" s="435" t="n"/>
      <c r="H34" s="436" t="n"/>
      <c r="I34" s="302" t="n"/>
      <c r="J34" s="302" t="n"/>
    </row>
    <row r="35" ht="14.25" customFormat="1" customHeight="1" s="343">
      <c r="A35" s="377" t="n">
        <v>7</v>
      </c>
      <c r="B35" s="323" t="inlineStr">
        <is>
          <t>22.2.01.03-0003</t>
        </is>
      </c>
      <c r="C35" s="380" t="inlineStr">
        <is>
          <t>Изолятор подвесной стеклянный ПСД-70Е</t>
        </is>
      </c>
      <c r="D35" s="377" t="inlineStr">
        <is>
          <t>шт</t>
        </is>
      </c>
      <c r="E35" s="223" t="n">
        <v>5</v>
      </c>
      <c r="F35" s="382" t="n">
        <v>169.25</v>
      </c>
      <c r="G35" s="293">
        <f>ROUND(E35*F35,2)</f>
        <v/>
      </c>
      <c r="H35" s="268">
        <f>G35/$G$47</f>
        <v/>
      </c>
      <c r="I35" s="293">
        <f>ROUND(F35*Прил.10!$D$13,2)</f>
        <v/>
      </c>
      <c r="J35" s="293">
        <f>ROUND(I35*E35,2)</f>
        <v/>
      </c>
    </row>
    <row r="36" ht="14.25" customFormat="1" customHeight="1" s="343">
      <c r="A36" s="377" t="n">
        <v>8</v>
      </c>
      <c r="B36" s="323" t="inlineStr">
        <is>
          <t>20.5.04.04-0052</t>
        </is>
      </c>
      <c r="C36" s="380" t="inlineStr">
        <is>
          <t>Зажим натяжной спиральный НС-15,2-02</t>
        </is>
      </c>
      <c r="D36" s="377" t="inlineStr">
        <is>
          <t>шт</t>
        </is>
      </c>
      <c r="E36" s="223" t="n">
        <v>1</v>
      </c>
      <c r="F36" s="382" t="n">
        <v>484.94</v>
      </c>
      <c r="G36" s="293">
        <f>ROUND(E36*F36,2)</f>
        <v/>
      </c>
      <c r="H36" s="268">
        <f>G36/$G$47</f>
        <v/>
      </c>
      <c r="I36" s="293">
        <f>ROUND(F36*Прил.10!$D$13,2)</f>
        <v/>
      </c>
      <c r="J36" s="293">
        <f>ROUND(I36*E36,2)</f>
        <v/>
      </c>
    </row>
    <row r="37" ht="25.5" customFormat="1" customHeight="1" s="343">
      <c r="A37" s="377" t="n">
        <v>9</v>
      </c>
      <c r="B37" s="323" t="inlineStr">
        <is>
          <t>22.2.02.04-0035</t>
        </is>
      </c>
      <c r="C37" s="380" t="inlineStr">
        <is>
          <t>Звено промежуточное регулируемое ПРР-7-1</t>
        </is>
      </c>
      <c r="D37" s="377" t="inlineStr">
        <is>
          <t>шт</t>
        </is>
      </c>
      <c r="E37" s="223" t="n">
        <v>1</v>
      </c>
      <c r="F37" s="382" t="n">
        <v>121.66</v>
      </c>
      <c r="G37" s="293">
        <f>ROUND(E37*F37,2)</f>
        <v/>
      </c>
      <c r="H37" s="268">
        <f>G37/$G$47</f>
        <v/>
      </c>
      <c r="I37" s="293">
        <f>ROUND(F37*Прил.10!$D$13,2)</f>
        <v/>
      </c>
      <c r="J37" s="293">
        <f>ROUND(I37*E37,2)</f>
        <v/>
      </c>
    </row>
    <row r="38" ht="14.25" customFormat="1" customHeight="1" s="343">
      <c r="A38" s="377" t="n"/>
      <c r="B38" s="377" t="n"/>
      <c r="C38" s="380" t="inlineStr">
        <is>
          <t>Итого основные материалы</t>
        </is>
      </c>
      <c r="D38" s="377" t="n"/>
      <c r="E38" s="223" t="n"/>
      <c r="F38" s="382" t="n"/>
      <c r="G38" s="293">
        <f>SUM(G35:G37)</f>
        <v/>
      </c>
      <c r="H38" s="383">
        <f>G38/$G$47</f>
        <v/>
      </c>
      <c r="I38" s="303" t="n"/>
      <c r="J38" s="293">
        <f>SUM(J35:J37)</f>
        <v/>
      </c>
    </row>
    <row r="39" outlineLevel="1" ht="14.25" customFormat="1" customHeight="1" s="343">
      <c r="A39" s="377" t="n">
        <v>10</v>
      </c>
      <c r="B39" s="323" t="inlineStr">
        <is>
          <t>01.7.15.10-0001</t>
        </is>
      </c>
      <c r="C39" s="380" t="inlineStr">
        <is>
          <t>Скобы длинные СКД-10-1</t>
        </is>
      </c>
      <c r="D39" s="377" t="inlineStr">
        <is>
          <t>шт</t>
        </is>
      </c>
      <c r="E39" s="223" t="n">
        <v>1</v>
      </c>
      <c r="F39" s="382" t="n">
        <v>45.18</v>
      </c>
      <c r="G39" s="293">
        <f>ROUND(E39*F39,2)</f>
        <v/>
      </c>
      <c r="H39" s="268">
        <f>G39/$G$47</f>
        <v/>
      </c>
      <c r="I39" s="293">
        <f>ROUND(F39*Прил.10!$D$13,2)</f>
        <v/>
      </c>
      <c r="J39" s="293">
        <f>ROUND(I39*E39,2)</f>
        <v/>
      </c>
    </row>
    <row r="40" outlineLevel="1" ht="14.25" customFormat="1" customHeight="1" s="343">
      <c r="A40" s="377" t="n">
        <v>11</v>
      </c>
      <c r="B40" s="323" t="inlineStr">
        <is>
          <t>20.1.02.22-0005</t>
        </is>
      </c>
      <c r="C40" s="380" t="inlineStr">
        <is>
          <t>Ушко: однолапчатое У1-7-16</t>
        </is>
      </c>
      <c r="D40" s="377" t="inlineStr">
        <is>
          <t>шт</t>
        </is>
      </c>
      <c r="E40" s="223" t="n">
        <v>1</v>
      </c>
      <c r="F40" s="382" t="n">
        <v>39.32</v>
      </c>
      <c r="G40" s="293">
        <f>ROUND(E40*F40,2)</f>
        <v/>
      </c>
      <c r="H40" s="268">
        <f>G40/$G$47</f>
        <v/>
      </c>
      <c r="I40" s="293">
        <f>ROUND(F40*Прил.10!$D$13,2)</f>
        <v/>
      </c>
      <c r="J40" s="293">
        <f>ROUND(I40*E40,2)</f>
        <v/>
      </c>
    </row>
    <row r="41" outlineLevel="1" ht="25.5" customFormat="1" customHeight="1" s="343">
      <c r="A41" s="377" t="n">
        <v>12</v>
      </c>
      <c r="B41" s="323" t="inlineStr">
        <is>
          <t>22.2.02.04-0041</t>
        </is>
      </c>
      <c r="C41" s="380" t="inlineStr">
        <is>
          <t>Звено промежуточное трехлапчатое ПРТ-7-1</t>
        </is>
      </c>
      <c r="D41" s="377" t="inlineStr">
        <is>
          <t>шт</t>
        </is>
      </c>
      <c r="E41" s="223" t="n">
        <v>1</v>
      </c>
      <c r="F41" s="382" t="n">
        <v>36.42</v>
      </c>
      <c r="G41" s="293">
        <f>ROUND(E41*F41,2)</f>
        <v/>
      </c>
      <c r="H41" s="268">
        <f>G41/$G$47</f>
        <v/>
      </c>
      <c r="I41" s="293">
        <f>ROUND(F41*Прил.10!$D$13,2)</f>
        <v/>
      </c>
      <c r="J41" s="293">
        <f>ROUND(I41*E41,2)</f>
        <v/>
      </c>
    </row>
    <row r="42" outlineLevel="1" ht="14.25" customFormat="1" customHeight="1" s="343">
      <c r="A42" s="377" t="n">
        <v>13</v>
      </c>
      <c r="B42" s="323" t="inlineStr">
        <is>
          <t>01.7.15.10-0031</t>
        </is>
      </c>
      <c r="C42" s="380" t="inlineStr">
        <is>
          <t>Скобы СК-7-1А</t>
        </is>
      </c>
      <c r="D42" s="377" t="inlineStr">
        <is>
          <t>шт</t>
        </is>
      </c>
      <c r="E42" s="223" t="n">
        <v>1</v>
      </c>
      <c r="F42" s="382" t="n">
        <v>28.07</v>
      </c>
      <c r="G42" s="293">
        <f>ROUND(E42*F42,2)</f>
        <v/>
      </c>
      <c r="H42" s="268">
        <f>G42/$G$47</f>
        <v/>
      </c>
      <c r="I42" s="293">
        <f>ROUND(F42*Прил.10!$D$13,2)</f>
        <v/>
      </c>
      <c r="J42" s="293">
        <f>ROUND(I42*E42,2)</f>
        <v/>
      </c>
    </row>
    <row r="43" outlineLevel="1" ht="14.25" customFormat="1" customHeight="1" s="343">
      <c r="A43" s="377" t="n">
        <v>14</v>
      </c>
      <c r="B43" s="323" t="inlineStr">
        <is>
          <t>22.2.02.04-0005</t>
        </is>
      </c>
      <c r="C43" s="380" t="inlineStr">
        <is>
          <t>Звено промежуточное монтажное ПТМ-7-2</t>
        </is>
      </c>
      <c r="D43" s="377" t="inlineStr">
        <is>
          <t>шт</t>
        </is>
      </c>
      <c r="E43" s="223" t="n">
        <v>1</v>
      </c>
      <c r="F43" s="382" t="n">
        <v>25.36</v>
      </c>
      <c r="G43" s="293">
        <f>ROUND(E43*F43,2)</f>
        <v/>
      </c>
      <c r="H43" s="268">
        <f>G43/$G$47</f>
        <v/>
      </c>
      <c r="I43" s="293">
        <f>ROUND(F43*Прил.10!$D$13,2)</f>
        <v/>
      </c>
      <c r="J43" s="293">
        <f>ROUND(I43*E43,2)</f>
        <v/>
      </c>
    </row>
    <row r="44" outlineLevel="1" ht="14.25" customFormat="1" customHeight="1" s="343">
      <c r="A44" s="377" t="n">
        <v>15</v>
      </c>
      <c r="B44" s="323" t="inlineStr">
        <is>
          <t>20.1.02.14-1014</t>
        </is>
      </c>
      <c r="C44" s="380" t="inlineStr">
        <is>
          <t>Серьга СР-7-16</t>
        </is>
      </c>
      <c r="D44" s="377" t="inlineStr">
        <is>
          <t>шт</t>
        </is>
      </c>
      <c r="E44" s="223" t="n">
        <v>1</v>
      </c>
      <c r="F44" s="382" t="n">
        <v>9.359999999999999</v>
      </c>
      <c r="G44" s="293">
        <f>ROUND(E44*F44,2)</f>
        <v/>
      </c>
      <c r="H44" s="268">
        <f>G44/$G$47</f>
        <v/>
      </c>
      <c r="I44" s="293">
        <f>ROUND(F44*Прил.10!$D$13,2)</f>
        <v/>
      </c>
      <c r="J44" s="293">
        <f>ROUND(I44*E44,2)</f>
        <v/>
      </c>
    </row>
    <row r="45" outlineLevel="1" ht="25.5" customFormat="1" customHeight="1" s="343">
      <c r="A45" s="377" t="n">
        <v>16</v>
      </c>
      <c r="B45" s="323" t="inlineStr">
        <is>
          <t>999-9950</t>
        </is>
      </c>
      <c r="C45" s="380" t="inlineStr">
        <is>
          <t>Вспомогательные ненормируемые ресурсы (2% от Оплаты труда рабочих)</t>
        </is>
      </c>
      <c r="D45" s="377" t="inlineStr">
        <is>
          <t>руб</t>
        </is>
      </c>
      <c r="E45" s="223" t="n">
        <v>0.6</v>
      </c>
      <c r="F45" s="382" t="n">
        <v>1</v>
      </c>
      <c r="G45" s="293">
        <f>ROUND(E45*F45,2)</f>
        <v/>
      </c>
      <c r="H45" s="268">
        <f>G45/$G$47</f>
        <v/>
      </c>
      <c r="I45" s="293">
        <f>ROUND(F45*Прил.10!$D$13,2)</f>
        <v/>
      </c>
      <c r="J45" s="293">
        <f>ROUND(I45*E45,2)</f>
        <v/>
      </c>
    </row>
    <row r="46" ht="14.25" customFormat="1" customHeight="1" s="343">
      <c r="A46" s="377" t="n"/>
      <c r="B46" s="377" t="n"/>
      <c r="C46" s="380" t="inlineStr">
        <is>
          <t>Итого прочие материалы</t>
        </is>
      </c>
      <c r="D46" s="377" t="n"/>
      <c r="E46" s="381" t="n"/>
      <c r="F46" s="382" t="n"/>
      <c r="G46" s="293">
        <f>SUM(G39:G45)</f>
        <v/>
      </c>
      <c r="H46" s="383">
        <f>G46/G47</f>
        <v/>
      </c>
      <c r="I46" s="293" t="n"/>
      <c r="J46" s="293">
        <f>SUM(J39:J45)</f>
        <v/>
      </c>
    </row>
    <row r="47" ht="14.25" customFormat="1" customHeight="1" s="343">
      <c r="A47" s="377" t="n"/>
      <c r="B47" s="377" t="n"/>
      <c r="C47" s="384" t="inlineStr">
        <is>
          <t>Итого по разделу «Материалы»</t>
        </is>
      </c>
      <c r="D47" s="377" t="n"/>
      <c r="E47" s="381" t="n"/>
      <c r="F47" s="382" t="n"/>
      <c r="G47" s="293">
        <f>G38+G46</f>
        <v/>
      </c>
      <c r="H47" s="383" t="n">
        <v>1</v>
      </c>
      <c r="I47" s="293" t="n"/>
      <c r="J47" s="293">
        <f>J38+J46</f>
        <v/>
      </c>
    </row>
    <row r="48" ht="14.25" customFormat="1" customHeight="1" s="343">
      <c r="A48" s="377" t="n"/>
      <c r="B48" s="377" t="n"/>
      <c r="C48" s="380" t="inlineStr">
        <is>
          <t>ИТОГО ПО РМ</t>
        </is>
      </c>
      <c r="D48" s="377" t="n"/>
      <c r="E48" s="381" t="n"/>
      <c r="F48" s="382" t="n"/>
      <c r="G48" s="293">
        <f>G15+G26+G47</f>
        <v/>
      </c>
      <c r="H48" s="383" t="n"/>
      <c r="I48" s="293" t="n"/>
      <c r="J48" s="293">
        <f>J15+J26+J47</f>
        <v/>
      </c>
    </row>
    <row r="49" ht="14.25" customFormat="1" customHeight="1" s="343">
      <c r="A49" s="377" t="n"/>
      <c r="B49" s="377" t="n"/>
      <c r="C49" s="380" t="inlineStr">
        <is>
          <t>Накладные расходы</t>
        </is>
      </c>
      <c r="D49" s="234">
        <f>ROUND(G49/(G$17+$G$15),2)</f>
        <v/>
      </c>
      <c r="E49" s="381" t="n"/>
      <c r="F49" s="382" t="n"/>
      <c r="G49" s="293" t="n">
        <v>38.69</v>
      </c>
      <c r="H49" s="383" t="n"/>
      <c r="I49" s="293" t="n"/>
      <c r="J49" s="293">
        <f>ROUND(D49*(J15+J17),2)</f>
        <v/>
      </c>
    </row>
    <row r="50" ht="14.25" customFormat="1" customHeight="1" s="343">
      <c r="A50" s="377" t="n"/>
      <c r="B50" s="377" t="n"/>
      <c r="C50" s="380" t="inlineStr">
        <is>
          <t>Сметная прибыль</t>
        </is>
      </c>
      <c r="D50" s="234">
        <f>ROUND(G50/(G$15+G$17),2)</f>
        <v/>
      </c>
      <c r="E50" s="381" t="n"/>
      <c r="F50" s="382" t="n"/>
      <c r="G50" s="293" t="n">
        <v>20.34</v>
      </c>
      <c r="H50" s="383" t="n"/>
      <c r="I50" s="293" t="n"/>
      <c r="J50" s="293">
        <f>ROUND(D50*(J15+J17),2)</f>
        <v/>
      </c>
    </row>
    <row r="51" ht="14.25" customFormat="1" customHeight="1" s="343">
      <c r="A51" s="377" t="n"/>
      <c r="B51" s="377" t="n"/>
      <c r="C51" s="380" t="inlineStr">
        <is>
          <t>Итого СМР (с НР и СП)</t>
        </is>
      </c>
      <c r="D51" s="377" t="n"/>
      <c r="E51" s="381" t="n"/>
      <c r="F51" s="382" t="n"/>
      <c r="G51" s="293">
        <f>G15+G26+G47+G49+G50</f>
        <v/>
      </c>
      <c r="H51" s="383" t="n"/>
      <c r="I51" s="293" t="n"/>
      <c r="J51" s="293">
        <f>J15+J26+J47+J49+J50</f>
        <v/>
      </c>
    </row>
    <row r="52" ht="14.25" customFormat="1" customHeight="1" s="343">
      <c r="A52" s="377" t="n"/>
      <c r="B52" s="377" t="n"/>
      <c r="C52" s="380" t="inlineStr">
        <is>
          <t>ВСЕГО СМР + ОБОРУДОВАНИЕ</t>
        </is>
      </c>
      <c r="D52" s="377" t="n"/>
      <c r="E52" s="381" t="n"/>
      <c r="F52" s="382" t="n"/>
      <c r="G52" s="293">
        <f>G51+G31</f>
        <v/>
      </c>
      <c r="H52" s="383" t="n"/>
      <c r="I52" s="293" t="n"/>
      <c r="J52" s="293">
        <f>J51+J31</f>
        <v/>
      </c>
    </row>
    <row r="53" ht="34.5" customFormat="1" customHeight="1" s="343">
      <c r="A53" s="377" t="n"/>
      <c r="B53" s="377" t="n"/>
      <c r="C53" s="380" t="inlineStr">
        <is>
          <t>ИТОГО ПОКАЗАТЕЛЬ НА ЕД. ИЗМ.</t>
        </is>
      </c>
      <c r="D53" s="377" t="inlineStr">
        <is>
          <t>гирлянда изоляторов</t>
        </is>
      </c>
      <c r="E53" s="381" t="n">
        <v>1</v>
      </c>
      <c r="F53" s="382" t="n"/>
      <c r="G53" s="293">
        <f>G52/E53</f>
        <v/>
      </c>
      <c r="H53" s="383" t="n"/>
      <c r="I53" s="293" t="n"/>
      <c r="J53" s="293">
        <f>J52/E53</f>
        <v/>
      </c>
    </row>
    <row r="55" ht="14.25" customFormat="1" customHeight="1" s="343">
      <c r="A55" s="340" t="inlineStr">
        <is>
          <t>Составил ______________________    А.Р. Маркова</t>
        </is>
      </c>
    </row>
    <row r="56" ht="14.25" customFormat="1" customHeight="1" s="343">
      <c r="A56" s="342" t="inlineStr">
        <is>
          <t xml:space="preserve">                         (подпись, инициалы, фамилия)</t>
        </is>
      </c>
    </row>
    <row r="57" ht="14.25" customFormat="1" customHeight="1" s="343">
      <c r="A57" s="340" t="n"/>
    </row>
    <row r="58" ht="14.25" customFormat="1" customHeight="1" s="343">
      <c r="A58" s="340" t="inlineStr">
        <is>
          <t>Проверил ______________________        А.В. Костянецкая</t>
        </is>
      </c>
    </row>
    <row r="59" ht="14.25" customFormat="1" customHeight="1" s="343">
      <c r="A59" s="342" t="inlineStr">
        <is>
          <t xml:space="preserve">                        (подпись, инициалы, фамилия)</t>
        </is>
      </c>
    </row>
  </sheetData>
  <mergeCells count="22">
    <mergeCell ref="F10:G10"/>
    <mergeCell ref="A4:J4"/>
    <mergeCell ref="C10:C11"/>
    <mergeCell ref="H2:J2"/>
    <mergeCell ref="E10:E11"/>
    <mergeCell ref="A7:H7"/>
    <mergeCell ref="B16:H16"/>
    <mergeCell ref="B10:B11"/>
    <mergeCell ref="B33:J33"/>
    <mergeCell ref="B18:H18"/>
    <mergeCell ref="D6:J6"/>
    <mergeCell ref="A10:A11"/>
    <mergeCell ref="A8:H8"/>
    <mergeCell ref="D10:D11"/>
    <mergeCell ref="B13:H13"/>
    <mergeCell ref="I10:J10"/>
    <mergeCell ref="A6:C6"/>
    <mergeCell ref="B27:J27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7" sqref="D17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85" t="inlineStr">
        <is>
          <t>Приложение №6</t>
        </is>
      </c>
    </row>
    <row r="2" ht="21.75" customHeight="1" s="327">
      <c r="A2" s="385" t="n"/>
      <c r="B2" s="385" t="n"/>
      <c r="C2" s="385" t="n"/>
      <c r="D2" s="385" t="n"/>
      <c r="E2" s="385" t="n"/>
      <c r="F2" s="385" t="n"/>
      <c r="G2" s="385" t="n"/>
    </row>
    <row r="3">
      <c r="A3" s="344" t="inlineStr">
        <is>
          <t>Расчет стоимости оборудования</t>
        </is>
      </c>
    </row>
    <row r="4" ht="25.5" customHeight="1" s="327">
      <c r="A4" s="347" t="inlineStr">
        <is>
          <t>Наименование разрабатываемого показателя УНЦ - Гирлянды изоляторов ВЛ напряжение 35 кВ</t>
        </is>
      </c>
    </row>
    <row r="5">
      <c r="A5" s="340" t="n"/>
      <c r="B5" s="340" t="n"/>
      <c r="C5" s="340" t="n"/>
      <c r="D5" s="340" t="n"/>
      <c r="E5" s="340" t="n"/>
      <c r="F5" s="340" t="n"/>
      <c r="G5" s="340" t="n"/>
    </row>
    <row r="6" ht="30" customHeight="1" s="327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7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27">
      <c r="A9" s="306" t="n"/>
      <c r="B9" s="380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27">
      <c r="A10" s="377" t="n"/>
      <c r="B10" s="384" t="n"/>
      <c r="C10" s="380" t="inlineStr">
        <is>
          <t>ИТОГО ИНЖЕНЕРНОЕ ОБОРУДОВАНИЕ</t>
        </is>
      </c>
      <c r="D10" s="384" t="n"/>
      <c r="E10" s="148" t="n"/>
      <c r="F10" s="382" t="n"/>
      <c r="G10" s="382" t="n">
        <v>0</v>
      </c>
    </row>
    <row r="11">
      <c r="A11" s="377" t="n"/>
      <c r="B11" s="380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27">
      <c r="A12" s="377" t="n"/>
      <c r="B12" s="380" t="n"/>
      <c r="C12" s="380" t="inlineStr">
        <is>
          <t>ИТОГО ТЕХНОЛОГИЧЕСКОЕ ОБОРУДОВАНИЕ</t>
        </is>
      </c>
      <c r="D12" s="380" t="n"/>
      <c r="E12" s="389" t="n"/>
      <c r="F12" s="382" t="n"/>
      <c r="G12" s="293" t="n">
        <v>0</v>
      </c>
    </row>
    <row r="13" ht="19.5" customHeight="1" s="327">
      <c r="A13" s="377" t="n"/>
      <c r="B13" s="380" t="n"/>
      <c r="C13" s="380" t="inlineStr">
        <is>
          <t>Всего по разделу «Оборудование»</t>
        </is>
      </c>
      <c r="D13" s="380" t="n"/>
      <c r="E13" s="389" t="n"/>
      <c r="F13" s="382" t="n"/>
      <c r="G13" s="293" t="n">
        <v>0</v>
      </c>
    </row>
    <row r="14">
      <c r="A14" s="338" t="n"/>
      <c r="B14" s="339" t="n"/>
      <c r="C14" s="338" t="n"/>
      <c r="D14" s="338" t="n"/>
      <c r="E14" s="338" t="n"/>
      <c r="F14" s="338" t="n"/>
      <c r="G14" s="338" t="n"/>
    </row>
    <row r="15">
      <c r="A15" s="340" t="inlineStr">
        <is>
          <t>Составил ______________________    А.Р. Маркова</t>
        </is>
      </c>
      <c r="B15" s="343" t="n"/>
      <c r="C15" s="343" t="n"/>
      <c r="D15" s="338" t="n"/>
      <c r="E15" s="338" t="n"/>
      <c r="F15" s="338" t="n"/>
      <c r="G15" s="338" t="n"/>
    </row>
    <row r="16">
      <c r="A16" s="342" t="inlineStr">
        <is>
          <t xml:space="preserve">                         (подпись, инициалы, фамилия)</t>
        </is>
      </c>
      <c r="B16" s="343" t="n"/>
      <c r="C16" s="343" t="n"/>
      <c r="D16" s="338" t="n"/>
      <c r="E16" s="338" t="n"/>
      <c r="F16" s="338" t="n"/>
      <c r="G16" s="338" t="n"/>
    </row>
    <row r="17">
      <c r="A17" s="340" t="n"/>
      <c r="B17" s="343" t="n"/>
      <c r="C17" s="343" t="n"/>
      <c r="D17" s="338" t="n"/>
      <c r="E17" s="338" t="n"/>
      <c r="F17" s="338" t="n"/>
      <c r="G17" s="338" t="n"/>
    </row>
    <row r="18">
      <c r="A18" s="340" t="inlineStr">
        <is>
          <t>Проверил ______________________        А.В. Костянецкая</t>
        </is>
      </c>
      <c r="B18" s="343" t="n"/>
      <c r="C18" s="343" t="n"/>
      <c r="D18" s="338" t="n"/>
      <c r="E18" s="338" t="n"/>
      <c r="F18" s="338" t="n"/>
      <c r="G18" s="338" t="n"/>
    </row>
    <row r="19">
      <c r="A19" s="342" t="inlineStr">
        <is>
          <t xml:space="preserve">                        (подпись, инициалы, фамилия)</t>
        </is>
      </c>
      <c r="B19" s="343" t="n"/>
      <c r="C19" s="343" t="n"/>
      <c r="D19" s="338" t="n"/>
      <c r="E19" s="338" t="n"/>
      <c r="F19" s="338" t="n"/>
      <c r="G19" s="33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5" sqref="C15"/>
    </sheetView>
  </sheetViews>
  <sheetFormatPr baseColWidth="8" defaultRowHeight="15"/>
  <cols>
    <col width="13.28515625" customWidth="1" style="327" min="1" max="1"/>
    <col width="29" customWidth="1" style="327" min="2" max="2"/>
    <col width="34.5703125" customWidth="1" style="327" min="3" max="3"/>
    <col width="23.5703125" customWidth="1" style="327" min="4" max="4"/>
  </cols>
  <sheetData>
    <row r="1">
      <c r="B1" s="340" t="n"/>
      <c r="C1" s="340" t="n"/>
      <c r="D1" s="385" t="inlineStr">
        <is>
          <t>Приложение №7</t>
        </is>
      </c>
    </row>
    <row r="2">
      <c r="A2" s="385" t="n"/>
      <c r="B2" s="385" t="n"/>
      <c r="C2" s="385" t="n"/>
      <c r="D2" s="385" t="n"/>
    </row>
    <row r="3">
      <c r="A3" s="344" t="inlineStr">
        <is>
          <t>Расчет показателя УНЦ</t>
        </is>
      </c>
    </row>
    <row r="4">
      <c r="A4" s="344" t="n"/>
      <c r="B4" s="344" t="n"/>
      <c r="C4" s="344" t="n"/>
      <c r="D4" s="344" t="n"/>
    </row>
    <row r="5" ht="46.9" customHeight="1" s="327">
      <c r="A5" s="347" t="inlineStr">
        <is>
          <t xml:space="preserve">Наименование разрабатываемого показателя УНЦ - </t>
        </is>
      </c>
      <c r="D5" s="347">
        <f>'Прил.5 Расчет СМР и ОБ'!D6:J6</f>
        <v/>
      </c>
    </row>
    <row r="6">
      <c r="A6" s="347" t="inlineStr">
        <is>
          <t>Единица измерения  — 1 гирлянда изоляторов</t>
        </is>
      </c>
      <c r="D6" s="347" t="n"/>
    </row>
    <row r="7">
      <c r="A7" s="340" t="n"/>
      <c r="B7" s="340" t="n"/>
      <c r="C7" s="340" t="n"/>
      <c r="D7" s="340" t="n"/>
    </row>
    <row r="8">
      <c r="A8" s="377" t="inlineStr">
        <is>
          <t>Код показателя</t>
        </is>
      </c>
      <c r="B8" s="377" t="inlineStr">
        <is>
          <t>Наименование показателя</t>
        </is>
      </c>
      <c r="C8" s="377" t="inlineStr">
        <is>
          <t>Наименование РМ, входящих в состав показателя</t>
        </is>
      </c>
      <c r="D8" s="377" t="inlineStr">
        <is>
          <t>Норматив цены на 01.01.2023, тыс.руб.</t>
        </is>
      </c>
    </row>
    <row r="9">
      <c r="A9" s="438" t="n"/>
      <c r="B9" s="438" t="n"/>
      <c r="C9" s="438" t="n"/>
      <c r="D9" s="438" t="n"/>
    </row>
    <row r="10">
      <c r="A10" s="377" t="n">
        <v>1</v>
      </c>
      <c r="B10" s="377" t="n">
        <v>2</v>
      </c>
      <c r="C10" s="377" t="n">
        <v>3</v>
      </c>
      <c r="D10" s="377" t="n">
        <v>4</v>
      </c>
    </row>
    <row r="11" ht="31.15" customHeight="1" s="327">
      <c r="A11" s="377" t="inlineStr">
        <is>
          <t>Л10-01-2</t>
        </is>
      </c>
      <c r="B11" s="377" t="inlineStr">
        <is>
          <t>УНЦ гирлянды изоляторов ВЛ</t>
        </is>
      </c>
      <c r="C11" s="336">
        <f>D5</f>
        <v/>
      </c>
      <c r="D11" s="337">
        <f>'Прил.4 РМ'!C41/1000</f>
        <v/>
      </c>
    </row>
    <row r="12">
      <c r="A12" s="338" t="n"/>
      <c r="B12" s="339" t="n"/>
      <c r="C12" s="338" t="n"/>
      <c r="D12" s="338" t="n"/>
    </row>
    <row r="13">
      <c r="A13" s="340" t="inlineStr">
        <is>
          <t>Составил ______________________      А.Р. Маркова</t>
        </is>
      </c>
      <c r="B13" s="343" t="n"/>
      <c r="C13" s="343" t="n"/>
      <c r="D13" s="338" t="n"/>
    </row>
    <row r="14">
      <c r="A14" s="342" t="inlineStr">
        <is>
          <t xml:space="preserve">                         (подпись, инициалы, фамилия)</t>
        </is>
      </c>
      <c r="B14" s="343" t="n"/>
      <c r="C14" s="343" t="n"/>
      <c r="D14" s="338" t="n"/>
    </row>
    <row r="15">
      <c r="A15" s="340" t="n"/>
      <c r="B15" s="343" t="n"/>
      <c r="C15" s="343" t="n"/>
      <c r="D15" s="338" t="n"/>
    </row>
    <row r="16">
      <c r="A16" s="340" t="inlineStr">
        <is>
          <t>Проверил ______________________        А.В. Костянецкая</t>
        </is>
      </c>
      <c r="B16" s="343" t="n"/>
      <c r="C16" s="343" t="n"/>
      <c r="D16" s="338" t="n"/>
    </row>
    <row r="17">
      <c r="A17" s="342" t="inlineStr">
        <is>
          <t xml:space="preserve">                        (подпись, инициалы, фамилия)</t>
        </is>
      </c>
      <c r="B17" s="343" t="n"/>
      <c r="C17" s="343" t="n"/>
      <c r="D17" s="33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1" zoomScale="60" zoomScaleNormal="85" workbookViewId="0">
      <selection activeCell="C23" sqref="C23"/>
    </sheetView>
  </sheetViews>
  <sheetFormatPr baseColWidth="8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2" t="inlineStr">
        <is>
          <t>Приложение № 10</t>
        </is>
      </c>
    </row>
    <row r="5" ht="18.75" customHeight="1" s="327">
      <c r="B5" s="199" t="n"/>
    </row>
    <row r="6" ht="15.75" customHeight="1" s="327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1" t="inlineStr">
        <is>
          <t>*Стоимость ПНР принята на основании СД ОП</t>
        </is>
      </c>
    </row>
    <row r="8">
      <c r="B8" s="391" t="n"/>
      <c r="C8" s="391" t="n"/>
      <c r="D8" s="391" t="n"/>
      <c r="E8" s="391" t="n"/>
    </row>
    <row r="9" ht="47.25" customHeight="1" s="327">
      <c r="B9" s="358" t="inlineStr">
        <is>
          <t>Наименование индекса / норм сопутствующих затрат</t>
        </is>
      </c>
      <c r="C9" s="358" t="inlineStr">
        <is>
          <t>Дата применения и обоснование индекса / норм сопутствующих затрат</t>
        </is>
      </c>
      <c r="D9" s="358" t="inlineStr">
        <is>
          <t>Размер индекса / норма сопутствующих затрат</t>
        </is>
      </c>
    </row>
    <row r="10" ht="15.75" customHeight="1" s="327">
      <c r="B10" s="358" t="n">
        <v>1</v>
      </c>
      <c r="C10" s="358" t="n">
        <v>2</v>
      </c>
      <c r="D10" s="358" t="n">
        <v>3</v>
      </c>
    </row>
    <row r="11" ht="47.25" customHeight="1" s="327">
      <c r="B11" s="358" t="inlineStr">
        <is>
          <t xml:space="preserve">Индекс изменения сметной стоимости на 1 квартал 2023 года. ОЗП </t>
        </is>
      </c>
      <c r="C11" s="358" t="inlineStr">
        <is>
          <t>Письмо Минстроя России от 01.04.2023г. №17772-ИФ/09  прил.9</t>
        </is>
      </c>
      <c r="D11" s="358" t="n">
        <v>46.83</v>
      </c>
    </row>
    <row r="12" ht="47.25" customHeight="1" s="327">
      <c r="B12" s="358" t="inlineStr">
        <is>
          <t>Индекс изменения сметной стоимости на 1 квартал 2023 года. ЭМ</t>
        </is>
      </c>
      <c r="C12" s="358" t="inlineStr">
        <is>
          <t>Письмо Минстроя России от 01.04.2023г. №17772-ИФ/09  прил.9</t>
        </is>
      </c>
      <c r="D12" s="358" t="n">
        <v>11.96</v>
      </c>
    </row>
    <row r="13" ht="47.25" customHeight="1" s="327">
      <c r="B13" s="358" t="inlineStr">
        <is>
          <t>Индекс изменения сметной стоимости на 1 квартал 2023 года. МАТ</t>
        </is>
      </c>
      <c r="C13" s="358" t="inlineStr">
        <is>
          <t>Письмо Минстроя России от 01.04.2023г. №17772-ИФ/09  прил.9</t>
        </is>
      </c>
      <c r="D13" s="358" t="n">
        <v>9.84</v>
      </c>
    </row>
    <row r="14" ht="30.75" customHeight="1" s="327">
      <c r="B14" s="358" t="inlineStr">
        <is>
          <t>Индекс изменения сметной стоимости на 1 квартал 2023 года. ОБ</t>
        </is>
      </c>
      <c r="C14" s="258" t="inlineStr">
        <is>
          <t>Письмо Минстроя России от 23.02.2023г. №9791-ИФ/09 прил.6</t>
        </is>
      </c>
      <c r="D14" s="358" t="n">
        <v>6.26</v>
      </c>
    </row>
    <row r="15" ht="89.25" customHeight="1" s="327">
      <c r="B15" s="358" t="inlineStr">
        <is>
          <t>Временные здания и сооружения</t>
        </is>
      </c>
      <c r="C15" s="35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2" t="n">
        <v>0.033</v>
      </c>
    </row>
    <row r="16" ht="78.75" customHeight="1" s="327">
      <c r="B16" s="358" t="inlineStr">
        <is>
          <t>Дополнительные затраты при производстве строительно-монтажных работ в зимнее время</t>
        </is>
      </c>
      <c r="C16" s="358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2" t="n">
        <v>0.01</v>
      </c>
    </row>
    <row r="17" ht="34.5" customHeight="1" s="327">
      <c r="B17" s="358" t="n"/>
      <c r="C17" s="358" t="n"/>
      <c r="D17" s="358" t="n"/>
    </row>
    <row r="18" ht="31.5" customHeight="1" s="327">
      <c r="B18" s="358" t="inlineStr">
        <is>
          <t>Строительный контроль</t>
        </is>
      </c>
      <c r="C18" s="358" t="inlineStr">
        <is>
          <t>Постановление Правительства РФ от 21.06.10 г. № 468</t>
        </is>
      </c>
      <c r="D18" s="202" t="n">
        <v>0.0214</v>
      </c>
    </row>
    <row r="19" ht="31.5" customHeight="1" s="327">
      <c r="B19" s="358" t="inlineStr">
        <is>
          <t>Авторский надзор - 0,2%</t>
        </is>
      </c>
      <c r="C19" s="358" t="inlineStr">
        <is>
          <t>Приказ от 4.08.2020 № 421/пр п.173</t>
        </is>
      </c>
      <c r="D19" s="202" t="n">
        <v>0.002</v>
      </c>
    </row>
    <row r="20" ht="24" customHeight="1" s="327">
      <c r="B20" s="358" t="inlineStr">
        <is>
          <t>Непредвиденные расходы</t>
        </is>
      </c>
      <c r="C20" s="358" t="inlineStr">
        <is>
          <t>Приказ от 4.08.2020 № 421/пр п.179</t>
        </is>
      </c>
      <c r="D20" s="202" t="n">
        <v>0.03</v>
      </c>
    </row>
    <row r="21" ht="18.75" customHeight="1" s="327">
      <c r="B21" s="200" t="n"/>
    </row>
    <row r="22" ht="18.75" customHeight="1" s="327">
      <c r="B22" s="200" t="n"/>
    </row>
    <row r="23" ht="18.75" customHeight="1" s="327">
      <c r="B23" s="200" t="n"/>
    </row>
    <row r="24" ht="18.75" customHeight="1" s="327">
      <c r="B24" s="200" t="n"/>
    </row>
    <row r="27">
      <c r="B27" s="340" t="inlineStr">
        <is>
          <t>Составил ______________________      А.Р. Маркова</t>
        </is>
      </c>
      <c r="C27" s="343" t="n"/>
    </row>
    <row r="28">
      <c r="B28" s="342" t="inlineStr">
        <is>
          <t xml:space="preserve">                         (подпись, инициалы, фамилия)</t>
        </is>
      </c>
      <c r="C28" s="343" t="n"/>
    </row>
    <row r="29">
      <c r="B29" s="340" t="n"/>
      <c r="C29" s="343" t="n"/>
    </row>
    <row r="30">
      <c r="B30" s="340" t="inlineStr">
        <is>
          <t>Проверил ______________________        А.В. Костянецкая</t>
        </is>
      </c>
      <c r="C30" s="343" t="n"/>
    </row>
    <row r="31">
      <c r="B31" s="342" t="inlineStr">
        <is>
          <t xml:space="preserve">                        (подпись, инициалы, фамилия)</t>
        </is>
      </c>
      <c r="C31" s="34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6" sqref="D26"/>
    </sheetView>
  </sheetViews>
  <sheetFormatPr baseColWidth="8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43.85546875" customWidth="1" style="327" min="6" max="6"/>
    <col width="9.140625" customWidth="1" style="327" min="7" max="7"/>
  </cols>
  <sheetData>
    <row r="2" ht="17.25" customHeight="1" s="327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7">
      <c r="A4" s="182" t="inlineStr">
        <is>
          <t>Составлен в уровне цен на 01.01.2023 г.</t>
        </is>
      </c>
      <c r="B4" s="183" t="n"/>
      <c r="C4" s="183" t="n"/>
      <c r="D4" s="183" t="n"/>
      <c r="E4" s="183" t="n"/>
      <c r="F4" s="183" t="n"/>
      <c r="G4" s="183" t="n"/>
    </row>
    <row r="5" ht="15.75" customHeight="1" s="327">
      <c r="A5" s="184" t="inlineStr">
        <is>
          <t>№ пп.</t>
        </is>
      </c>
      <c r="B5" s="184" t="inlineStr">
        <is>
          <t>Наименование элемента</t>
        </is>
      </c>
      <c r="C5" s="184" t="inlineStr">
        <is>
          <t>Обозначение</t>
        </is>
      </c>
      <c r="D5" s="184" t="inlineStr">
        <is>
          <t>Формула</t>
        </is>
      </c>
      <c r="E5" s="184" t="inlineStr">
        <is>
          <t>Величина элемента</t>
        </is>
      </c>
      <c r="F5" s="184" t="inlineStr">
        <is>
          <t>Наименования обосновывающих документов</t>
        </is>
      </c>
      <c r="G5" s="183" t="n"/>
    </row>
    <row r="6" ht="15.75" customHeight="1" s="327">
      <c r="A6" s="184" t="n">
        <v>1</v>
      </c>
      <c r="B6" s="184" t="n">
        <v>2</v>
      </c>
      <c r="C6" s="184" t="n">
        <v>3</v>
      </c>
      <c r="D6" s="184" t="n">
        <v>4</v>
      </c>
      <c r="E6" s="184" t="n">
        <v>5</v>
      </c>
      <c r="F6" s="184" t="n">
        <v>6</v>
      </c>
      <c r="G6" s="183" t="n"/>
    </row>
    <row r="7" ht="110.25" customHeight="1" s="327">
      <c r="A7" s="185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188" t="n">
        <v>43361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3" t="n"/>
    </row>
    <row r="8" ht="31.5" customHeight="1" s="327">
      <c r="A8" s="185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188">
        <f>1973/12</f>
        <v/>
      </c>
      <c r="F8" s="189" t="inlineStr">
        <is>
          <t>Производственный календарь 2023 год
(40-часов.неделя)</t>
        </is>
      </c>
      <c r="G8" s="191" t="n"/>
    </row>
    <row r="9" ht="15.75" customHeight="1" s="327">
      <c r="A9" s="185" t="inlineStr">
        <is>
          <t>1.3</t>
        </is>
      </c>
      <c r="B9" s="189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188" t="n">
        <v>1</v>
      </c>
      <c r="F9" s="189" t="n"/>
      <c r="G9" s="191" t="n"/>
    </row>
    <row r="10" ht="15.75" customHeight="1" s="327">
      <c r="A10" s="185" t="inlineStr">
        <is>
          <t>1.4</t>
        </is>
      </c>
      <c r="B10" s="189" t="inlineStr">
        <is>
          <t>Средний разряд работ</t>
        </is>
      </c>
      <c r="C10" s="358" t="n"/>
      <c r="D10" s="358" t="n"/>
      <c r="E10" s="192" t="n">
        <v>4</v>
      </c>
      <c r="F10" s="189" t="inlineStr">
        <is>
          <t>РТМ</t>
        </is>
      </c>
      <c r="G10" s="191" t="n"/>
    </row>
    <row r="11" ht="78.75" customHeight="1" s="327">
      <c r="A11" s="185" t="inlineStr">
        <is>
          <t>1.5</t>
        </is>
      </c>
      <c r="B11" s="189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193" t="n">
        <v>1.34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3" t="n"/>
    </row>
    <row r="12" ht="78.75" customHeight="1" s="327">
      <c r="A12" s="185" t="inlineStr">
        <is>
          <t>1.6</t>
        </is>
      </c>
      <c r="B12" s="194" t="inlineStr">
        <is>
          <t>Коэффициент инфляции, определяемый поквартально</t>
        </is>
      </c>
      <c r="C12" s="358" t="inlineStr">
        <is>
          <t>Кинф</t>
        </is>
      </c>
      <c r="D12" s="358" t="inlineStr">
        <is>
          <t>-</t>
        </is>
      </c>
      <c r="E12" s="195" t="n">
        <v>1.139</v>
      </c>
      <c r="F12" s="19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7">
      <c r="A13" s="185" t="inlineStr">
        <is>
          <t>1.7</t>
        </is>
      </c>
      <c r="B13" s="321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198">
        <f>((E7*E9/E8)*E11)*E12</f>
        <v/>
      </c>
      <c r="F13" s="18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2025-01-24T12:09:42Z</dcterms:modified>
  <cp:lastModifiedBy>Danil</cp:lastModifiedBy>
  <cp:lastPrinted>2023-11-29T07:49:07Z</cp:lastPrinted>
</cp:coreProperties>
</file>