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ОБ'!$A$1:$J$62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7" zoomScale="70" zoomScaleNormal="70" workbookViewId="0">
      <selection activeCell="A26" sqref="A26:XFD30"/>
    </sheetView>
  </sheetViews>
  <sheetFormatPr baseColWidth="8" defaultRowHeight="15"/>
  <cols>
    <col width="36.85546875" customWidth="1" style="192" min="3" max="3"/>
    <col width="43.85546875" customWidth="1" style="192" min="4" max="4"/>
  </cols>
  <sheetData>
    <row r="3" ht="15.75" customHeight="1" s="192">
      <c r="B3" s="224" t="inlineStr">
        <is>
          <t>Приложение № 1</t>
        </is>
      </c>
    </row>
    <row r="4" ht="18.75" customHeight="1" s="192">
      <c r="B4" s="225" t="inlineStr">
        <is>
          <t>Сравнительная таблица отбора объекта-представителя</t>
        </is>
      </c>
    </row>
    <row r="5" ht="84" customHeight="1" s="192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15" t="n"/>
      <c r="C6" s="115" t="n"/>
      <c r="D6" s="115" t="n"/>
    </row>
    <row r="7" ht="42" customHeight="1" s="192">
      <c r="B7" s="223" t="inlineStr">
        <is>
          <t>Наименование разрабатываемого показателя УНЦ - Гирлянды изоляторов ВЛ напряжение 330 кВ</t>
        </is>
      </c>
    </row>
    <row r="8" ht="31.5" customHeight="1" s="192">
      <c r="B8" s="223" t="inlineStr">
        <is>
          <t>Сопоставимый уровень цен: 01.01.2000</t>
        </is>
      </c>
    </row>
    <row r="9" ht="15.75" customHeight="1" s="192">
      <c r="B9" s="223" t="inlineStr">
        <is>
          <t>Единица измерения  — 1 гирлянда изоляторов</t>
        </is>
      </c>
    </row>
    <row r="10" ht="18.75" customHeight="1" s="192">
      <c r="B10" s="116" t="n"/>
    </row>
    <row r="11" ht="15.75" customHeight="1" s="192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>Объект-представитель</t>
        </is>
      </c>
    </row>
    <row r="12" ht="41.25" customHeight="1" s="192">
      <c r="B12" s="230" t="n">
        <v>1</v>
      </c>
      <c r="C12" s="118" t="inlineStr">
        <is>
          <t>Наименование объекта-представителя</t>
        </is>
      </c>
      <c r="D12" s="204" t="inlineStr">
        <is>
          <t>ПС 500 кВ Преображенская</t>
        </is>
      </c>
    </row>
    <row r="13" ht="31.5" customHeight="1" s="192">
      <c r="B13" s="230" t="n">
        <v>2</v>
      </c>
      <c r="C13" s="118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92">
      <c r="B14" s="230" t="n">
        <v>3</v>
      </c>
      <c r="C14" s="118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92">
      <c r="B15" s="230" t="n">
        <v>4</v>
      </c>
      <c r="C15" s="118" t="inlineStr">
        <is>
          <t>Мощность объекта</t>
        </is>
      </c>
      <c r="D15" s="204" t="n">
        <v>1</v>
      </c>
    </row>
    <row r="16" ht="128.45" customHeight="1" s="192">
      <c r="B16" s="23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Гирлянды изоляторов</t>
        </is>
      </c>
    </row>
    <row r="17" ht="95.25" customHeight="1" s="192">
      <c r="B17" s="23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92">
      <c r="B18" s="120" t="inlineStr">
        <is>
          <t>6.1</t>
        </is>
      </c>
      <c r="C18" s="118" t="inlineStr">
        <is>
          <t>строительно-монтажные работы</t>
        </is>
      </c>
      <c r="D18" s="204" t="n">
        <v>56.76</v>
      </c>
    </row>
    <row r="19" ht="15.75" customHeight="1" s="192">
      <c r="B19" s="120" t="inlineStr">
        <is>
          <t>6.2</t>
        </is>
      </c>
      <c r="C19" s="118" t="inlineStr">
        <is>
          <t>оборудование и инвентарь</t>
        </is>
      </c>
      <c r="D19" s="206" t="n">
        <v>0</v>
      </c>
    </row>
    <row r="20" ht="15.75" customHeight="1" s="192">
      <c r="B20" s="120" t="inlineStr">
        <is>
          <t>6.3</t>
        </is>
      </c>
      <c r="C20" s="118" t="inlineStr">
        <is>
          <t>пусконаладочные работы</t>
        </is>
      </c>
      <c r="D20" s="206" t="n">
        <v>0</v>
      </c>
    </row>
    <row r="21" ht="31.5" customHeight="1" s="192">
      <c r="B21" s="120" t="inlineStr">
        <is>
          <t>6.4</t>
        </is>
      </c>
      <c r="C21" s="118" t="inlineStr">
        <is>
          <t>прочие и лимитированные затраты</t>
        </is>
      </c>
      <c r="D21" s="206">
        <f>D18*3.9%+(D18+D18*3.9%)*3.2%</f>
        <v/>
      </c>
    </row>
    <row r="22" ht="15.75" customHeight="1" s="192">
      <c r="B22" s="230" t="n">
        <v>7</v>
      </c>
      <c r="C22" s="118" t="inlineStr">
        <is>
          <t>Сопоставимый уровень цен</t>
        </is>
      </c>
      <c r="D22" s="204" t="inlineStr">
        <is>
          <t>4 кв. 2016 г.</t>
        </is>
      </c>
    </row>
    <row r="23" ht="110.25" customHeight="1" s="192">
      <c r="B23" s="23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D17/5.17*7.62</f>
        <v/>
      </c>
    </row>
    <row r="24" ht="61.5" customHeight="1" s="192">
      <c r="B24" s="23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</row>
    <row r="25" ht="37.5" customHeight="1" s="192">
      <c r="B25" s="121" t="n"/>
      <c r="C25" s="122" t="n"/>
      <c r="D25" s="122" t="n"/>
    </row>
    <row r="26" s="192">
      <c r="B26" s="193" t="inlineStr">
        <is>
          <t>Составил ______________________        А.Р. Маркова</t>
        </is>
      </c>
      <c r="C26" s="202" t="n"/>
    </row>
    <row r="27" s="192">
      <c r="B27" s="203" t="inlineStr">
        <is>
          <t xml:space="preserve">                         (подпись, инициалы, фамилия)</t>
        </is>
      </c>
      <c r="C27" s="202" t="n"/>
    </row>
    <row r="28" s="192">
      <c r="B28" s="193" t="n"/>
      <c r="C28" s="202" t="n"/>
    </row>
    <row r="29" s="192">
      <c r="B29" s="193" t="inlineStr">
        <is>
          <t>Проверил ______________________        А.В. Костянецкая</t>
        </is>
      </c>
      <c r="C29" s="202" t="n"/>
    </row>
    <row r="30" s="192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192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A18" sqref="A18:XFD22"/>
    </sheetView>
  </sheetViews>
  <sheetFormatPr baseColWidth="8" defaultRowHeight="15"/>
  <cols>
    <col width="5.5703125" customWidth="1" style="192" min="1" max="1"/>
    <col width="5.7109375" customWidth="1" style="192" min="2" max="2"/>
    <col width="25.7109375" customWidth="1" style="192" min="3" max="3"/>
    <col width="13.85546875" customWidth="1" style="192" min="4" max="4"/>
    <col width="17.42578125" customWidth="1" style="192" min="5" max="5"/>
    <col width="10.28515625" customWidth="1" style="192" min="6" max="6"/>
    <col width="13" customWidth="1" style="192" min="7" max="7"/>
    <col width="8.7109375" customWidth="1" style="192" min="8" max="8"/>
    <col width="13" customWidth="1" style="192" min="9" max="10"/>
  </cols>
  <sheetData>
    <row r="3" ht="15.75" customHeight="1" s="192">
      <c r="B3" s="224" t="inlineStr">
        <is>
          <t>Приложение № 2</t>
        </is>
      </c>
    </row>
    <row r="4" ht="15.75" customHeight="1" s="192"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192">
      <c r="B6" s="223" t="inlineStr">
        <is>
          <t>Наименование разрабатываемого показателя УНЦ - Гирлянды изоляторов ВЛ напряжение 330 кВ</t>
        </is>
      </c>
    </row>
    <row r="7" ht="15.75" customHeight="1" s="192">
      <c r="B7" s="223" t="inlineStr">
        <is>
          <t>Единица измерения  — 1 гирлянда изоляторов</t>
        </is>
      </c>
    </row>
    <row r="8" ht="18.75" customHeight="1" s="192">
      <c r="B8" s="116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 s="192">
      <c r="B10" s="309" t="n"/>
      <c r="C10" s="309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307" t="n"/>
      <c r="H10" s="307" t="n"/>
      <c r="I10" s="307" t="n"/>
      <c r="J10" s="308" t="n"/>
    </row>
    <row r="11" ht="106.15" customHeight="1" s="192">
      <c r="B11" s="310" t="n"/>
      <c r="C11" s="310" t="n"/>
      <c r="D11" s="310" t="n"/>
      <c r="E11" s="310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08" customHeight="1" s="192">
      <c r="B12" s="208" t="n">
        <v>1</v>
      </c>
      <c r="C12" s="208" t="inlineStr">
        <is>
          <t>Гирлянды изоляторов</t>
        </is>
      </c>
      <c r="D12" s="208" t="inlineStr">
        <is>
          <t>02-01-02-5</t>
        </is>
      </c>
      <c r="E12" s="208" t="inlineStr">
        <is>
          <t xml:space="preserve">Установка автотрансформаторов.. Электротехнические решения </t>
        </is>
      </c>
      <c r="F12" s="208" t="n"/>
      <c r="G12" s="209">
        <f>10978.86*5.17/1000</f>
        <v/>
      </c>
      <c r="H12" s="209" t="n"/>
      <c r="I12" s="209" t="n"/>
      <c r="J12" s="209">
        <f>SUM(F12:I12)</f>
        <v/>
      </c>
    </row>
    <row r="13" ht="15.75" customHeight="1" s="192">
      <c r="B13" s="227" t="inlineStr">
        <is>
          <t>Всего по объекту:</t>
        </is>
      </c>
      <c r="C13" s="311" t="n"/>
      <c r="D13" s="311" t="n"/>
      <c r="E13" s="312" t="n"/>
      <c r="F13" s="210" t="n"/>
      <c r="G13" s="211">
        <f>G12</f>
        <v/>
      </c>
      <c r="H13" s="211" t="n"/>
      <c r="I13" s="211" t="n"/>
      <c r="J13" s="211" t="n"/>
    </row>
    <row r="14" ht="28.5" customHeight="1" s="192">
      <c r="B14" s="228" t="inlineStr">
        <is>
          <t>Всего по объекту в сопоставимом уровне цен 4 кв. 2016г:</t>
        </is>
      </c>
      <c r="C14" s="307" t="n"/>
      <c r="D14" s="307" t="n"/>
      <c r="E14" s="308" t="n"/>
      <c r="F14" s="212" t="n"/>
      <c r="G14" s="213">
        <f>G13</f>
        <v/>
      </c>
      <c r="H14" s="213" t="n"/>
      <c r="I14" s="213" t="n"/>
      <c r="J14" s="213">
        <f>SUM(F14:I14)</f>
        <v/>
      </c>
    </row>
    <row r="15" ht="18.75" customHeight="1" s="192">
      <c r="B15" s="116" t="n"/>
    </row>
    <row r="18" s="192">
      <c r="B18" s="193" t="inlineStr">
        <is>
          <t>Составил ______________________        А.Р. Маркова</t>
        </is>
      </c>
      <c r="C18" s="202" t="n"/>
    </row>
    <row r="19" s="192">
      <c r="B19" s="203" t="inlineStr">
        <is>
          <t xml:space="preserve">                         (подпись, инициалы, фамилия)</t>
        </is>
      </c>
      <c r="C19" s="202" t="n"/>
    </row>
    <row r="20" s="192">
      <c r="B20" s="193" t="n"/>
      <c r="C20" s="202" t="n"/>
    </row>
    <row r="21" s="192">
      <c r="B21" s="193" t="inlineStr">
        <is>
          <t>Проверил ______________________        А.В. Костянецкая</t>
        </is>
      </c>
      <c r="C21" s="202" t="n"/>
    </row>
    <row r="22" s="192">
      <c r="B22" s="203" t="inlineStr">
        <is>
          <t xml:space="preserve">                        (подпись, инициалы, фамилия)</t>
        </is>
      </c>
      <c r="C22" s="20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7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5"/>
  <sheetViews>
    <sheetView view="pageBreakPreview" topLeftCell="A22" zoomScale="84" workbookViewId="0">
      <selection activeCell="D38" sqref="D38"/>
    </sheetView>
  </sheetViews>
  <sheetFormatPr baseColWidth="8" defaultRowHeight="15"/>
  <cols>
    <col width="8.5703125" customWidth="1" style="192" min="1" max="1"/>
    <col width="12.85546875" customWidth="1" style="192" min="2" max="2"/>
    <col width="16.85546875" customWidth="1" style="192" min="3" max="3"/>
    <col width="49.85546875" customWidth="1" style="192" min="4" max="4"/>
    <col width="12.28515625" customWidth="1" style="192" min="5" max="5"/>
    <col width="19.85546875" customWidth="1" style="192" min="6" max="6"/>
    <col width="17.85546875" customWidth="1" style="192" min="7" max="7"/>
    <col width="19.42578125" customWidth="1" style="179" min="8" max="8"/>
    <col width="10.140625" customWidth="1" style="192" min="9" max="9"/>
  </cols>
  <sheetData>
    <row r="2" ht="15.75" customHeight="1" s="192">
      <c r="A2" s="224" t="inlineStr">
        <is>
          <t xml:space="preserve">Приложение № 3 </t>
        </is>
      </c>
      <c r="I2" s="121" t="n"/>
    </row>
    <row r="3" ht="18.75" customHeight="1" s="192">
      <c r="A3" s="225" t="inlineStr">
        <is>
          <t>Объектная ресурсная ведомость</t>
        </is>
      </c>
    </row>
    <row r="4" ht="25.5" customHeight="1" s="192"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2">
      <c r="C5" s="158" t="n"/>
      <c r="D5" s="158" t="n"/>
      <c r="E5" s="158" t="n"/>
      <c r="F5" s="158" t="n"/>
      <c r="G5" s="158" t="n"/>
      <c r="H5" s="159" t="n"/>
    </row>
    <row r="6" ht="15" customHeight="1" s="192">
      <c r="A6" s="239" t="inlineStr">
        <is>
          <t>Наименование разрабатываемого показателя УНЦ - Гирлянды изоляторов ВЛ напряжение 330 кВ</t>
        </is>
      </c>
      <c r="G6" s="160" t="n"/>
      <c r="H6" s="161" t="n"/>
    </row>
    <row r="7" ht="14.25" customHeight="1" s="192">
      <c r="G7" s="160" t="n"/>
      <c r="H7" s="161" t="n"/>
    </row>
    <row r="8" ht="15.75" customHeight="1" s="192">
      <c r="C8" s="162" t="n"/>
      <c r="D8" s="163" t="n"/>
      <c r="E8" s="164" t="n"/>
      <c r="F8" s="165" t="n"/>
      <c r="G8" s="166" t="n"/>
      <c r="H8" s="167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08" t="n"/>
    </row>
    <row r="10" ht="40.5" customHeight="1" s="192">
      <c r="A10" s="310" t="n"/>
      <c r="B10" s="310" t="n"/>
      <c r="C10" s="310" t="n"/>
      <c r="D10" s="310" t="n"/>
      <c r="E10" s="310" t="n"/>
      <c r="F10" s="310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 s="192">
      <c r="A11" s="230" t="n">
        <v>1</v>
      </c>
      <c r="B11" s="168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168" t="n">
        <v>6</v>
      </c>
      <c r="H11" s="168" t="n">
        <v>7</v>
      </c>
    </row>
    <row r="12" ht="15" customHeight="1" s="192">
      <c r="A12" s="237" t="inlineStr">
        <is>
          <t>Затраты труда рабочих</t>
        </is>
      </c>
      <c r="B12" s="307" t="n"/>
      <c r="C12" s="307" t="n"/>
      <c r="D12" s="308" t="n"/>
      <c r="E12" s="169" t="n"/>
      <c r="F12" s="184">
        <f>SUM(F13:F13)</f>
        <v/>
      </c>
      <c r="G12" s="169" t="n"/>
      <c r="H12" s="185">
        <f>SUM(H13:H13)</f>
        <v/>
      </c>
    </row>
    <row r="13">
      <c r="A13" s="149" t="inlineStr">
        <is>
          <t>1</t>
        </is>
      </c>
      <c r="B13" s="149" t="n"/>
      <c r="C13" s="174" t="inlineStr">
        <is>
          <t>1-4-0</t>
        </is>
      </c>
      <c r="D13" s="170" t="inlineStr">
        <is>
          <t>Затраты труда рабочих (ср 4)</t>
        </is>
      </c>
      <c r="E13" s="262" t="inlineStr">
        <is>
          <t>чел.-ч</t>
        </is>
      </c>
      <c r="F13" s="262" t="n">
        <v>12.36</v>
      </c>
      <c r="G13" s="171" t="n">
        <v>9.619999999999999</v>
      </c>
      <c r="H13" s="32">
        <f>ROUND(F13*G13,2)</f>
        <v/>
      </c>
      <c r="J13" s="56">
        <f>(4*F13)/SUM(F13:F13)</f>
        <v/>
      </c>
      <c r="K13" s="172" t="n"/>
      <c r="L13" s="172" t="n"/>
    </row>
    <row r="14">
      <c r="A14" s="313" t="inlineStr">
        <is>
          <t>Затраты труда машинистов</t>
        </is>
      </c>
      <c r="B14" s="311" t="n"/>
      <c r="C14" s="311" t="n"/>
      <c r="D14" s="312" t="n"/>
      <c r="E14" s="262" t="n"/>
      <c r="F14" s="174" t="n"/>
      <c r="G14" s="171" t="n"/>
      <c r="H14" s="186">
        <f>H15</f>
        <v/>
      </c>
      <c r="L14" s="172" t="n"/>
    </row>
    <row r="15">
      <c r="A15" s="149" t="inlineStr">
        <is>
          <t>2</t>
        </is>
      </c>
      <c r="B15" s="183" t="n"/>
      <c r="C15" s="149" t="n">
        <v>2</v>
      </c>
      <c r="D15" s="252" t="inlineStr">
        <is>
          <t>Затраты труда машинистов</t>
        </is>
      </c>
      <c r="E15" s="249" t="inlineStr">
        <is>
          <t>чел.час</t>
        </is>
      </c>
      <c r="F15" s="249" t="n">
        <v>3.98</v>
      </c>
      <c r="G15" s="261" t="n"/>
      <c r="H15" s="261" t="n">
        <v>46.99</v>
      </c>
    </row>
    <row r="16" ht="15" customHeight="1" s="192">
      <c r="A16" s="237" t="inlineStr">
        <is>
          <t>Машины и механизмы</t>
        </is>
      </c>
      <c r="B16" s="307" t="n"/>
      <c r="C16" s="307" t="n"/>
      <c r="D16" s="308" t="n"/>
      <c r="E16" s="169" t="n"/>
      <c r="F16" s="169" t="n"/>
      <c r="G16" s="169" t="n"/>
      <c r="H16" s="187">
        <f>SUM(H17:H20)</f>
        <v/>
      </c>
      <c r="K16" s="172" t="n"/>
    </row>
    <row r="17" ht="25.5" customHeight="1" s="192">
      <c r="A17" s="249">
        <f>A15+1</f>
        <v/>
      </c>
      <c r="B17" s="149" t="n"/>
      <c r="C17" s="149" t="inlineStr">
        <is>
          <t>91.06.03-058</t>
        </is>
      </c>
      <c r="D17" s="252" t="inlineStr">
        <is>
          <t>Лебедки электрические тяговым усилием 156,96 кН (16 т)</t>
        </is>
      </c>
      <c r="E17" s="249" t="inlineStr">
        <is>
          <t>маш.час</t>
        </is>
      </c>
      <c r="F17" s="249" t="n">
        <v>2.7</v>
      </c>
      <c r="G17" s="254" t="n">
        <v>131.44</v>
      </c>
      <c r="H17" s="32">
        <f>ROUND(F17*G17,2)</f>
        <v/>
      </c>
      <c r="I17" s="175" t="n"/>
    </row>
    <row r="18" ht="25.5" customHeight="1" s="192">
      <c r="A18" s="249">
        <f>A17+1</f>
        <v/>
      </c>
      <c r="B18" s="149" t="n"/>
      <c r="C18" s="149" t="inlineStr">
        <is>
          <t>91.05.05-015</t>
        </is>
      </c>
      <c r="D18" s="252" t="inlineStr">
        <is>
          <t>Краны на автомобильном ходу, грузоподъемность 16 т</t>
        </is>
      </c>
      <c r="E18" s="249" t="inlineStr">
        <is>
          <t>маш.час</t>
        </is>
      </c>
      <c r="F18" s="249" t="n">
        <v>0.66</v>
      </c>
      <c r="G18" s="254" t="n">
        <v>115.4</v>
      </c>
      <c r="H18" s="32">
        <f>ROUND(F18*G18,2)</f>
        <v/>
      </c>
      <c r="I18" s="175" t="n"/>
    </row>
    <row r="19">
      <c r="A19" s="249">
        <f>A18+1</f>
        <v/>
      </c>
      <c r="B19" s="149" t="n"/>
      <c r="C19" s="149" t="inlineStr">
        <is>
          <t>91.14.02-001</t>
        </is>
      </c>
      <c r="D19" s="252" t="inlineStr">
        <is>
          <t>Автомобили бортовые, грузоподъемность до 5 т</t>
        </is>
      </c>
      <c r="E19" s="249" t="inlineStr">
        <is>
          <t>маш.час</t>
        </is>
      </c>
      <c r="F19" s="249" t="n">
        <v>0.34</v>
      </c>
      <c r="G19" s="254" t="n">
        <v>65.70999999999999</v>
      </c>
      <c r="H19" s="32">
        <f>ROUND(F19*G19,2)</f>
        <v/>
      </c>
      <c r="I19" s="175" t="n"/>
    </row>
    <row r="20">
      <c r="A20" s="249">
        <f>A19+1</f>
        <v/>
      </c>
      <c r="B20" s="149" t="n"/>
      <c r="C20" s="149" t="inlineStr">
        <is>
          <t>91.06.06-042</t>
        </is>
      </c>
      <c r="D20" s="252" t="inlineStr">
        <is>
          <t>Подъемники гидравлические, высота подъема 10 м</t>
        </is>
      </c>
      <c r="E20" s="249" t="inlineStr">
        <is>
          <t>маш.час</t>
        </is>
      </c>
      <c r="F20" s="249" t="n">
        <v>0.28</v>
      </c>
      <c r="G20" s="254" t="n">
        <v>29.6</v>
      </c>
      <c r="H20" s="32">
        <f>ROUND(F20*G20,2)</f>
        <v/>
      </c>
      <c r="I20" s="175" t="n"/>
    </row>
    <row r="21" ht="15" customHeight="1" s="192">
      <c r="A21" s="238" t="inlineStr">
        <is>
          <t>Оборудование</t>
        </is>
      </c>
      <c r="B21" s="307" t="n"/>
      <c r="C21" s="307" t="n"/>
      <c r="D21" s="308" t="n"/>
      <c r="E21" s="176" t="n"/>
      <c r="F21" s="177" t="n"/>
      <c r="G21" s="171" t="n"/>
      <c r="H21" s="188" t="n"/>
      <c r="I21" s="175" t="n"/>
    </row>
    <row r="22" ht="15" customHeight="1" s="192">
      <c r="A22" s="237" t="inlineStr">
        <is>
          <t>Материалы</t>
        </is>
      </c>
      <c r="B22" s="307" t="n"/>
      <c r="C22" s="307" t="n"/>
      <c r="D22" s="308" t="n"/>
      <c r="E22" s="182" t="n"/>
      <c r="F22" s="182" t="n"/>
      <c r="G22" s="169" t="n"/>
      <c r="H22" s="187">
        <f>SUM(H23:H35)</f>
        <v/>
      </c>
    </row>
    <row r="23">
      <c r="A23" s="249">
        <f>A20+1</f>
        <v/>
      </c>
      <c r="B23" s="149" t="n"/>
      <c r="C23" s="149" t="inlineStr">
        <is>
          <t>22.2.01.03-0002</t>
        </is>
      </c>
      <c r="D23" s="252" t="inlineStr">
        <is>
          <t>Изолятор подвесной стеклянный ПСВ-160А</t>
        </is>
      </c>
      <c r="E23" s="249" t="inlineStr">
        <is>
          <t>шт</t>
        </is>
      </c>
      <c r="F23" s="191" t="n">
        <v>28</v>
      </c>
      <c r="G23" s="254" t="n">
        <v>284.68</v>
      </c>
      <c r="H23" s="32">
        <f>ROUND(F23*G23,2)</f>
        <v/>
      </c>
      <c r="I23" s="175" t="n"/>
    </row>
    <row r="24">
      <c r="A24" s="249">
        <f>A23+1</f>
        <v/>
      </c>
      <c r="B24" s="149" t="n"/>
      <c r="C24" s="253" t="inlineStr">
        <is>
          <t>20.5.04.04-0054</t>
        </is>
      </c>
      <c r="D24" s="252" t="inlineStr">
        <is>
          <t>Зажим натяжной спиральный НС-24,5-01</t>
        </is>
      </c>
      <c r="E24" s="249" t="inlineStr">
        <is>
          <t>шт</t>
        </is>
      </c>
      <c r="F24" s="191" t="n">
        <v>1</v>
      </c>
      <c r="G24" s="254" t="n">
        <v>457.82</v>
      </c>
      <c r="H24" s="32">
        <f>ROUND(F24*G24,2)</f>
        <v/>
      </c>
      <c r="I24" s="175" t="n"/>
    </row>
    <row r="25">
      <c r="A25" s="249">
        <f>A24+1</f>
        <v/>
      </c>
      <c r="B25" s="149" t="n"/>
      <c r="C25" s="149" t="inlineStr">
        <is>
          <t>22.2.02.04-0038</t>
        </is>
      </c>
      <c r="D25" s="252" t="inlineStr">
        <is>
          <t>Звено промежуточное регулируемое ПРР-16-1</t>
        </is>
      </c>
      <c r="E25" s="249" t="inlineStr">
        <is>
          <t>шт</t>
        </is>
      </c>
      <c r="F25" s="249" t="n">
        <v>2</v>
      </c>
      <c r="G25" s="254" t="n">
        <v>228.79</v>
      </c>
      <c r="H25" s="32">
        <f>ROUND(F25*G25,2)</f>
        <v/>
      </c>
      <c r="I25" s="175" t="n"/>
    </row>
    <row r="26">
      <c r="A26" s="249">
        <f>A25+1</f>
        <v/>
      </c>
      <c r="B26" s="149" t="n"/>
      <c r="C26" s="149" t="inlineStr">
        <is>
          <t>20.1.02.21-0037</t>
        </is>
      </c>
      <c r="D26" s="252" t="inlineStr">
        <is>
          <t>Узел крепления КГН-16-5</t>
        </is>
      </c>
      <c r="E26" s="249" t="inlineStr">
        <is>
          <t>шт</t>
        </is>
      </c>
      <c r="F26" s="249" t="n">
        <v>1</v>
      </c>
      <c r="G26" s="254" t="n">
        <v>326.1</v>
      </c>
      <c r="H26" s="32">
        <f>ROUND(F26*G26,2)</f>
        <v/>
      </c>
      <c r="I26" s="175" t="n"/>
    </row>
    <row r="27">
      <c r="A27" s="249">
        <f>A26+1</f>
        <v/>
      </c>
      <c r="B27" s="149" t="n"/>
      <c r="C27" s="149" t="inlineStr">
        <is>
          <t>20.1.02.05-0006</t>
        </is>
      </c>
      <c r="D27" s="252" t="inlineStr">
        <is>
          <t>Коромысло: 2КЛ-12/16-1</t>
        </is>
      </c>
      <c r="E27" s="249" t="inlineStr">
        <is>
          <t>шт</t>
        </is>
      </c>
      <c r="F27" s="249" t="n">
        <v>1</v>
      </c>
      <c r="G27" s="254" t="n">
        <v>539.29</v>
      </c>
      <c r="H27" s="32">
        <f>ROUND(F27*G27,2)</f>
        <v/>
      </c>
      <c r="I27" s="175" t="n"/>
    </row>
    <row r="28">
      <c r="A28" s="249">
        <f>A27+1</f>
        <v/>
      </c>
      <c r="B28" s="149" t="n"/>
      <c r="C28" s="149" t="inlineStr">
        <is>
          <t>20.1.02.22-0026</t>
        </is>
      </c>
      <c r="D28" s="252" t="inlineStr">
        <is>
          <t>Ушко: У-16-20</t>
        </is>
      </c>
      <c r="E28" s="249" t="inlineStr">
        <is>
          <t>шт</t>
        </is>
      </c>
      <c r="F28" s="249" t="n">
        <v>1</v>
      </c>
      <c r="G28" s="254" t="n">
        <v>220.79</v>
      </c>
      <c r="H28" s="32">
        <f>ROUND(F28*G28,2)</f>
        <v/>
      </c>
      <c r="I28" s="175" t="n"/>
    </row>
    <row r="29">
      <c r="A29" s="249">
        <f>A28+1</f>
        <v/>
      </c>
      <c r="B29" s="149" t="n"/>
      <c r="C29" s="149" t="inlineStr">
        <is>
          <t>22.2.02.04-0012</t>
        </is>
      </c>
      <c r="D29" s="252" t="inlineStr">
        <is>
          <t>Звено промежуточное монтажное ПТМ-16-3</t>
        </is>
      </c>
      <c r="E29" s="249" t="inlineStr">
        <is>
          <t>шт</t>
        </is>
      </c>
      <c r="F29" s="249" t="n">
        <v>1</v>
      </c>
      <c r="G29" s="254" t="n">
        <v>148.2</v>
      </c>
      <c r="H29" s="32">
        <f>ROUND(F29*G29,2)</f>
        <v/>
      </c>
      <c r="I29" s="175" t="n"/>
    </row>
    <row r="30">
      <c r="A30" s="249">
        <f>A29+1</f>
        <v/>
      </c>
      <c r="B30" s="149" t="n"/>
      <c r="C30" s="149" t="inlineStr">
        <is>
          <t>01.7.15.10-0038</t>
        </is>
      </c>
      <c r="D30" s="252" t="inlineStr">
        <is>
          <t>Скобы трехлапчатые СКТ-16-1</t>
        </is>
      </c>
      <c r="E30" s="249" t="inlineStr">
        <is>
          <t>шт</t>
        </is>
      </c>
      <c r="F30" s="249" t="n">
        <v>1</v>
      </c>
      <c r="G30" s="254" t="n">
        <v>113.53</v>
      </c>
      <c r="H30" s="32">
        <f>ROUND(F30*G30,2)</f>
        <v/>
      </c>
      <c r="I30" s="175" t="n"/>
    </row>
    <row r="31">
      <c r="A31" s="249">
        <f>A30+1</f>
        <v/>
      </c>
      <c r="B31" s="149" t="n"/>
      <c r="C31" s="149" t="inlineStr">
        <is>
          <t>22.2.02.04-0049</t>
        </is>
      </c>
      <c r="D31" s="252" t="inlineStr">
        <is>
          <t>Звено промежуточное трехлапчатое ПРТ-16-1</t>
        </is>
      </c>
      <c r="E31" s="249" t="inlineStr">
        <is>
          <t>шт</t>
        </is>
      </c>
      <c r="F31" s="249" t="n">
        <v>1</v>
      </c>
      <c r="G31" s="254" t="n">
        <v>80.59999999999999</v>
      </c>
      <c r="H31" s="32">
        <f>ROUND(F31*G31,2)</f>
        <v/>
      </c>
      <c r="I31" s="175" t="n"/>
    </row>
    <row r="32">
      <c r="A32" s="249">
        <f>A31+1</f>
        <v/>
      </c>
      <c r="B32" s="149" t="n"/>
      <c r="C32" s="149" t="inlineStr">
        <is>
          <t>01.7.15.10-0034</t>
        </is>
      </c>
      <c r="D32" s="252" t="inlineStr">
        <is>
          <t>Скобы СК-16-1А</t>
        </is>
      </c>
      <c r="E32" s="249" t="inlineStr">
        <is>
          <t>шт</t>
        </is>
      </c>
      <c r="F32" s="249" t="n">
        <v>1</v>
      </c>
      <c r="G32" s="254" t="n">
        <v>70.76000000000001</v>
      </c>
      <c r="H32" s="32">
        <f>ROUND(F32*G32,2)</f>
        <v/>
      </c>
      <c r="I32" s="175" t="n"/>
    </row>
    <row r="33">
      <c r="A33" s="249">
        <f>A32+1</f>
        <v/>
      </c>
      <c r="B33" s="149" t="n"/>
      <c r="C33" s="149" t="inlineStr">
        <is>
          <t>22.2.02.04-0023</t>
        </is>
      </c>
      <c r="D33" s="252" t="inlineStr">
        <is>
          <t>Звено промежуточное прямое ПР-16-6</t>
        </is>
      </c>
      <c r="E33" s="249" t="inlineStr">
        <is>
          <t>шт</t>
        </is>
      </c>
      <c r="F33" s="249" t="n">
        <v>1</v>
      </c>
      <c r="G33" s="254" t="n">
        <v>60.08</v>
      </c>
      <c r="H33" s="32">
        <f>ROUND(F33*G33,2)</f>
        <v/>
      </c>
      <c r="I33" s="175" t="n"/>
    </row>
    <row r="34">
      <c r="A34" s="249">
        <f>A33+1</f>
        <v/>
      </c>
      <c r="B34" s="149" t="n"/>
      <c r="C34" s="149" t="inlineStr">
        <is>
          <t>20.1.02.14-0005</t>
        </is>
      </c>
      <c r="D34" s="252" t="inlineStr">
        <is>
          <t>Серьга СР-16-20</t>
        </is>
      </c>
      <c r="E34" s="249" t="inlineStr">
        <is>
          <t>шт</t>
        </is>
      </c>
      <c r="F34" s="249" t="n">
        <v>1</v>
      </c>
      <c r="G34" s="254" t="n">
        <v>21.5</v>
      </c>
      <c r="H34" s="32">
        <f>ROUND(F34*G34,2)</f>
        <v/>
      </c>
      <c r="I34" s="175" t="n"/>
    </row>
    <row r="35" ht="25.5" customHeight="1" s="192">
      <c r="A35" s="249">
        <f>A34+1</f>
        <v/>
      </c>
      <c r="B35" s="149" t="n"/>
      <c r="C35" s="149" t="inlineStr">
        <is>
          <t>999-9950</t>
        </is>
      </c>
      <c r="D35" s="252" t="inlineStr">
        <is>
          <t>Вспомогательные ненормируемые ресурсы (2% от Оплаты труда рабочих)</t>
        </is>
      </c>
      <c r="E35" s="249" t="inlineStr">
        <is>
          <t>руб</t>
        </is>
      </c>
      <c r="F35" s="249" t="n">
        <v>2.38</v>
      </c>
      <c r="G35" s="254" t="n">
        <v>1</v>
      </c>
      <c r="H35" s="32">
        <f>ROUND(F35*G35,2)</f>
        <v/>
      </c>
      <c r="I35" s="175" t="n"/>
    </row>
    <row r="36">
      <c r="C36" s="165" t="n"/>
      <c r="D36" s="163" t="n"/>
      <c r="E36" s="164" t="n"/>
      <c r="F36" s="164" t="n"/>
      <c r="G36" s="166" t="n"/>
      <c r="H36" s="181" t="n"/>
    </row>
    <row r="37" ht="25.5" customHeight="1" s="192">
      <c r="B37" s="178" t="inlineStr">
        <is>
          <t xml:space="preserve">Примечание: </t>
        </is>
      </c>
      <c r="C37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8">
      <c r="I38" s="179" t="n"/>
    </row>
    <row r="41" s="192">
      <c r="B41" s="193" t="inlineStr">
        <is>
          <t>Составил ______________________        А.Р. Маркова</t>
        </is>
      </c>
      <c r="C41" s="202" t="n"/>
    </row>
    <row r="42" s="192">
      <c r="B42" s="203" t="inlineStr">
        <is>
          <t xml:space="preserve">                         (подпись, инициалы, фамилия)</t>
        </is>
      </c>
      <c r="C42" s="202" t="n"/>
    </row>
    <row r="43" s="192">
      <c r="B43" s="193" t="n"/>
      <c r="C43" s="202" t="n"/>
    </row>
    <row r="44" s="192">
      <c r="B44" s="193" t="inlineStr">
        <is>
          <t>Проверил ______________________        А.В. Костянецкая</t>
        </is>
      </c>
      <c r="C44" s="202" t="n"/>
    </row>
    <row r="45" s="192">
      <c r="B45" s="203" t="inlineStr">
        <is>
          <t xml:space="preserve">                        (подпись, инициалы, фамилия)</t>
        </is>
      </c>
      <c r="C45" s="202" t="n"/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37:H37"/>
    <mergeCell ref="A21:D21"/>
    <mergeCell ref="C4:H4"/>
    <mergeCell ref="A16:D16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A43" sqref="A43:XFD47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57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6" t="inlineStr">
        <is>
          <t>Ресурсная модель</t>
        </is>
      </c>
    </row>
    <row r="6">
      <c r="B6" s="139" t="n"/>
      <c r="C6" s="193" t="n"/>
      <c r="D6" s="193" t="n"/>
      <c r="E6" s="193" t="n"/>
    </row>
    <row r="7" ht="25.5" customHeight="1" s="192">
      <c r="B7" s="244" t="inlineStr">
        <is>
          <t>Наименование разрабатываемого показателя УНЦ - Гирлянды изоляторов ВЛ напряжение 330 кВ</t>
        </is>
      </c>
    </row>
    <row r="8">
      <c r="B8" s="245" t="inlineStr">
        <is>
          <t>Единица измерения  — 1 гирлянда изоляторов</t>
        </is>
      </c>
    </row>
    <row r="9">
      <c r="B9" s="139" t="n"/>
      <c r="C9" s="193" t="n"/>
      <c r="D9" s="193" t="n"/>
      <c r="E9" s="193" t="n"/>
    </row>
    <row r="10" ht="51" customHeight="1" s="192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ОБ'!J49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ОБ'!D52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192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192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2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2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2">
      <c r="B36" s="25" t="inlineStr">
        <is>
          <t>Строительный контроль и содержание службы заказчика - 2,14%</t>
        </is>
      </c>
      <c r="C36" s="214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14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192">
      <c r="B38" s="25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5" t="n"/>
      <c r="E38" s="27">
        <f>C38/$C$40</f>
        <v/>
      </c>
    </row>
    <row r="39" ht="13.5" customHeight="1" s="192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ОБ'!E56</f>
        <v/>
      </c>
      <c r="D41" s="25" t="n"/>
      <c r="E41" s="25" t="n"/>
    </row>
    <row r="42">
      <c r="B42" s="143" t="n"/>
      <c r="C42" s="193" t="n"/>
      <c r="D42" s="193" t="n"/>
      <c r="E42" s="193" t="n"/>
    </row>
    <row r="43" s="192">
      <c r="B43" s="193" t="inlineStr">
        <is>
          <t>Составил ______________________        А.Р. Маркова</t>
        </is>
      </c>
      <c r="C43" s="202" t="n"/>
    </row>
    <row r="44" s="192">
      <c r="B44" s="203" t="inlineStr">
        <is>
          <t xml:space="preserve">                         (подпись, инициалы, фамилия)</t>
        </is>
      </c>
      <c r="C44" s="202" t="n"/>
    </row>
    <row r="45" s="192">
      <c r="B45" s="193" t="n"/>
      <c r="C45" s="202" t="n"/>
    </row>
    <row r="46" s="192">
      <c r="B46" s="193" t="inlineStr">
        <is>
          <t>Проверил ______________________        А.В. Костянецкая</t>
        </is>
      </c>
      <c r="C46" s="202" t="n"/>
    </row>
    <row r="47" s="192">
      <c r="B47" s="203" t="inlineStr">
        <is>
          <t xml:space="preserve">                        (подпись, инициалы, фамилия)</t>
        </is>
      </c>
      <c r="C47" s="202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37" workbookViewId="0">
      <selection activeCell="D58" sqref="D58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2.7109375" customWidth="1" style="202" min="4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192">
      <c r="H2" s="246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3">
      <c r="A4" s="216" t="inlineStr">
        <is>
          <t>Расчет стоимости СМР и оборудования</t>
        </is>
      </c>
    </row>
    <row r="5" ht="12.75" customFormat="1" customHeight="1" s="193">
      <c r="A5" s="216" t="n"/>
      <c r="B5" s="216" t="n"/>
      <c r="C5" s="264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3">
      <c r="A6" s="219" t="inlineStr">
        <is>
          <t>Наименование разрабатываемого показателя УНЦ</t>
        </is>
      </c>
      <c r="D6" s="219" t="inlineStr">
        <is>
          <t>Гирлянды изоляторов ВЛ напряжение 330 кВ</t>
        </is>
      </c>
    </row>
    <row r="7" ht="12.75" customFormat="1" customHeight="1" s="193">
      <c r="A7" s="219" t="inlineStr">
        <is>
          <t>Единица измерения  — 1 гирлянда изоляторов</t>
        </is>
      </c>
      <c r="I7" s="244" t="n"/>
      <c r="J7" s="244" t="n"/>
    </row>
    <row r="8" ht="13.5" customFormat="1" customHeight="1" s="193">
      <c r="A8" s="219" t="n"/>
    </row>
    <row r="9" ht="13.15" customFormat="1" customHeight="1" s="193"/>
    <row r="10" ht="27" customHeight="1" s="192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08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08" t="n"/>
      <c r="M10" s="202" t="n"/>
      <c r="N10" s="202" t="n"/>
    </row>
    <row r="11" ht="28.5" customHeight="1" s="192">
      <c r="A11" s="310" t="n"/>
      <c r="B11" s="310" t="n"/>
      <c r="C11" s="310" t="n"/>
      <c r="D11" s="310" t="n"/>
      <c r="E11" s="310" t="n"/>
      <c r="F11" s="249" t="inlineStr">
        <is>
          <t>на ед. изм.</t>
        </is>
      </c>
      <c r="G11" s="249" t="inlineStr">
        <is>
          <t>общая</t>
        </is>
      </c>
      <c r="H11" s="310" t="n"/>
      <c r="I11" s="249" t="inlineStr">
        <is>
          <t>на ед. изм.</t>
        </is>
      </c>
      <c r="J11" s="249" t="inlineStr">
        <is>
          <t>общая</t>
        </is>
      </c>
      <c r="M11" s="202" t="n"/>
      <c r="N11" s="20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202" t="n"/>
      <c r="N12" s="202" t="n"/>
    </row>
    <row r="13">
      <c r="A13" s="249" t="n"/>
      <c r="B13" s="256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48" t="n"/>
      <c r="J13" s="148" t="n"/>
    </row>
    <row r="14" ht="25.5" customHeight="1" s="192">
      <c r="A14" s="249" t="n">
        <v>1</v>
      </c>
      <c r="B14" s="149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190">
        <f>G14/F14</f>
        <v/>
      </c>
      <c r="F14" s="32" t="n">
        <v>9.619999999999999</v>
      </c>
      <c r="G14" s="32">
        <f>SUM(Прил.3!H13:H13)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2">
      <c r="A15" s="249" t="n"/>
      <c r="B15" s="249" t="n"/>
      <c r="C15" s="256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90">
        <f>SUM(E14:E14)</f>
        <v/>
      </c>
      <c r="F15" s="32" t="n"/>
      <c r="G15" s="32">
        <f>SUM(G14:G14)</f>
        <v/>
      </c>
      <c r="H15" s="255" t="n">
        <v>1</v>
      </c>
      <c r="I15" s="148" t="n"/>
      <c r="J15" s="32">
        <f>SUM(J14:J14)</f>
        <v/>
      </c>
    </row>
    <row r="16" ht="14.25" customFormat="1" customHeight="1" s="202">
      <c r="A16" s="249" t="n"/>
      <c r="B16" s="25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48" t="n"/>
      <c r="J16" s="148" t="n"/>
    </row>
    <row r="17" ht="14.25" customFormat="1" customHeight="1" s="202">
      <c r="A17" s="249" t="n">
        <v>2</v>
      </c>
      <c r="B17" s="249" t="n">
        <v>2</v>
      </c>
      <c r="C17" s="252" t="inlineStr">
        <is>
          <t>Затраты труда машинистов</t>
        </is>
      </c>
      <c r="D17" s="249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55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02">
      <c r="A18" s="249" t="n"/>
      <c r="B18" s="256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48" t="n"/>
      <c r="J18" s="148" t="n"/>
    </row>
    <row r="19" ht="14.25" customFormat="1" customHeight="1" s="202">
      <c r="A19" s="249" t="n"/>
      <c r="B19" s="25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48" t="n"/>
      <c r="J19" s="148" t="n"/>
    </row>
    <row r="20" ht="25.5" customFormat="1" customHeight="1" s="202">
      <c r="A20" s="249" t="n">
        <v>3</v>
      </c>
      <c r="B20" s="149" t="inlineStr">
        <is>
          <t>91.06.03-058</t>
        </is>
      </c>
      <c r="C20" s="252" t="inlineStr">
        <is>
          <t>Лебедки электрические тяговым усилием 156,96 кН (16 т)</t>
        </is>
      </c>
      <c r="D20" s="249" t="inlineStr">
        <is>
          <t>маш.час</t>
        </is>
      </c>
      <c r="E20" s="150" t="n">
        <v>2.7</v>
      </c>
      <c r="F20" s="254" t="n">
        <v>131.44</v>
      </c>
      <c r="G20" s="32">
        <f>ROUND(E20*F20,2)</f>
        <v/>
      </c>
      <c r="H20" s="152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02">
      <c r="A21" s="249" t="n">
        <v>4</v>
      </c>
      <c r="B21" s="149" t="inlineStr">
        <is>
          <t>91.05.05-015</t>
        </is>
      </c>
      <c r="C21" s="252" t="inlineStr">
        <is>
          <t>Краны на автомобильном ходу, грузоподъемность 16 т</t>
        </is>
      </c>
      <c r="D21" s="249" t="inlineStr">
        <is>
          <t>маш.час</t>
        </is>
      </c>
      <c r="E21" s="150" t="n">
        <v>0.66</v>
      </c>
      <c r="F21" s="254" t="n">
        <v>115.4</v>
      </c>
      <c r="G21" s="32">
        <f>ROUND(E21*F21,2)</f>
        <v/>
      </c>
      <c r="H21" s="152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02">
      <c r="A22" s="249" t="n"/>
      <c r="B22" s="249" t="n"/>
      <c r="C22" s="252" t="inlineStr">
        <is>
          <t>Итого основные машины и механизмы</t>
        </is>
      </c>
      <c r="D22" s="249" t="n"/>
      <c r="E22" s="150" t="n"/>
      <c r="F22" s="32" t="n"/>
      <c r="G22" s="32">
        <f>SUM(G20:G21)</f>
        <v/>
      </c>
      <c r="H22" s="255">
        <f>G22/G26</f>
        <v/>
      </c>
      <c r="I22" s="151" t="n"/>
      <c r="J22" s="32">
        <f>SUM(J20:J21)</f>
        <v/>
      </c>
    </row>
    <row r="23" outlineLevel="1" ht="25.5" customFormat="1" customHeight="1" s="202">
      <c r="A23" s="249" t="n">
        <v>5</v>
      </c>
      <c r="B23" s="149" t="inlineStr">
        <is>
          <t>91.14.02-001</t>
        </is>
      </c>
      <c r="C23" s="252" t="inlineStr">
        <is>
          <t>Автомобили бортовые, грузоподъемность до 5 т</t>
        </is>
      </c>
      <c r="D23" s="249" t="inlineStr">
        <is>
          <t>маш.час</t>
        </is>
      </c>
      <c r="E23" s="150" t="n">
        <v>0.34</v>
      </c>
      <c r="F23" s="254" t="n">
        <v>65.70999999999999</v>
      </c>
      <c r="G23" s="32">
        <f>ROUND(E23*F23,2)</f>
        <v/>
      </c>
      <c r="H23" s="152">
        <f>G23/$G$26</f>
        <v/>
      </c>
      <c r="I23" s="261">
        <f>ROUND(F23*Прил.10!$D$12,2)</f>
        <v/>
      </c>
      <c r="J23" s="32">
        <f>ROUND(I23*E23,2)</f>
        <v/>
      </c>
    </row>
    <row r="24" outlineLevel="1" ht="25.5" customFormat="1" customHeight="1" s="202">
      <c r="A24" s="249" t="n">
        <v>6</v>
      </c>
      <c r="B24" s="149" t="inlineStr">
        <is>
          <t>91.06.06-042</t>
        </is>
      </c>
      <c r="C24" s="252" t="inlineStr">
        <is>
          <t>Подъемники гидравлические, высота подъема 10 м</t>
        </is>
      </c>
      <c r="D24" s="249" t="inlineStr">
        <is>
          <t>маш.час</t>
        </is>
      </c>
      <c r="E24" s="150" t="n">
        <v>0.28</v>
      </c>
      <c r="F24" s="254" t="n">
        <v>29.6</v>
      </c>
      <c r="G24" s="32">
        <f>ROUND(E24*F24,2)</f>
        <v/>
      </c>
      <c r="H24" s="152">
        <f>G24/$G$26</f>
        <v/>
      </c>
      <c r="I24" s="261">
        <f>ROUND(F24*Прил.10!$D$12,2)</f>
        <v/>
      </c>
      <c r="J24" s="32">
        <f>ROUND(I24*E24,2)</f>
        <v/>
      </c>
    </row>
    <row r="25" ht="14.25" customFormat="1" customHeight="1" s="202">
      <c r="A25" s="249" t="n"/>
      <c r="B25" s="249" t="n"/>
      <c r="C25" s="252" t="inlineStr">
        <is>
          <t>Итого прочие машины и механизмы</t>
        </is>
      </c>
      <c r="D25" s="249" t="n"/>
      <c r="E25" s="253" t="n"/>
      <c r="F25" s="32" t="n"/>
      <c r="G25" s="151">
        <f>SUM(G23:G24)</f>
        <v/>
      </c>
      <c r="H25" s="152">
        <f>G25/G26</f>
        <v/>
      </c>
      <c r="I25" s="32" t="n"/>
      <c r="J25" s="32">
        <f>SUM(J23:J24)</f>
        <v/>
      </c>
    </row>
    <row r="26" ht="25.5" customFormat="1" customHeight="1" s="202">
      <c r="A26" s="249" t="n"/>
      <c r="B26" s="249" t="n"/>
      <c r="C26" s="256" t="inlineStr">
        <is>
          <t>Итого по разделу «Машины и механизмы»</t>
        </is>
      </c>
      <c r="D26" s="249" t="n"/>
      <c r="E26" s="253" t="n"/>
      <c r="F26" s="32" t="n"/>
      <c r="G26" s="32">
        <f>G25+G22</f>
        <v/>
      </c>
      <c r="H26" s="153" t="n">
        <v>1</v>
      </c>
      <c r="I26" s="154" t="n"/>
      <c r="J26" s="155">
        <f>J25+J22</f>
        <v/>
      </c>
    </row>
    <row r="27" ht="30" customHeight="1" s="192">
      <c r="A27" s="249" t="n"/>
      <c r="B27" s="256" t="inlineStr">
        <is>
          <t xml:space="preserve">Оборудование </t>
        </is>
      </c>
      <c r="C27" s="307" t="n"/>
      <c r="D27" s="307" t="n"/>
      <c r="E27" s="307" t="n"/>
      <c r="F27" s="307" t="n"/>
      <c r="G27" s="307" t="n"/>
      <c r="H27" s="307" t="n"/>
      <c r="I27" s="307" t="n"/>
      <c r="J27" s="308" t="n"/>
    </row>
    <row r="28">
      <c r="A28" s="249" t="n"/>
      <c r="B28" s="252" t="inlineStr">
        <is>
          <t>Основное оборудование</t>
        </is>
      </c>
      <c r="C28" s="307" t="n"/>
      <c r="D28" s="307" t="n"/>
      <c r="E28" s="307" t="n"/>
      <c r="F28" s="307" t="n"/>
      <c r="G28" s="307" t="n"/>
      <c r="H28" s="308" t="n"/>
      <c r="I28" s="148" t="n"/>
      <c r="J28" s="148" t="n"/>
    </row>
    <row r="29">
      <c r="A29" s="249" t="n"/>
      <c r="B29" s="249" t="n"/>
      <c r="C29" s="252" t="inlineStr">
        <is>
          <t>Итого основное оборудование</t>
        </is>
      </c>
      <c r="D29" s="249" t="n"/>
      <c r="E29" s="150" t="n"/>
      <c r="F29" s="254" t="n"/>
      <c r="G29" s="32" t="n">
        <v>0</v>
      </c>
      <c r="H29" s="255" t="n">
        <v>0</v>
      </c>
      <c r="I29" s="151" t="n"/>
      <c r="J29" s="32" t="n">
        <v>0</v>
      </c>
    </row>
    <row r="30">
      <c r="A30" s="249" t="n"/>
      <c r="B30" s="249" t="n"/>
      <c r="C30" s="252" t="inlineStr">
        <is>
          <t>Итого прочее оборудование</t>
        </is>
      </c>
      <c r="D30" s="249" t="n"/>
      <c r="E30" s="150" t="n"/>
      <c r="F30" s="254" t="n"/>
      <c r="G30" s="32" t="n">
        <v>0</v>
      </c>
      <c r="H30" s="255" t="n">
        <v>0</v>
      </c>
      <c r="I30" s="151" t="n"/>
      <c r="J30" s="32" t="n">
        <v>0</v>
      </c>
    </row>
    <row r="31">
      <c r="A31" s="249" t="n"/>
      <c r="B31" s="249" t="n"/>
      <c r="C31" s="256" t="inlineStr">
        <is>
          <t>Итого по разделу «Оборудование»</t>
        </is>
      </c>
      <c r="D31" s="249" t="n"/>
      <c r="E31" s="253" t="n"/>
      <c r="F31" s="254" t="n"/>
      <c r="G31" s="32">
        <f>G29+G30</f>
        <v/>
      </c>
      <c r="H31" s="255" t="n">
        <v>0</v>
      </c>
      <c r="I31" s="151" t="n"/>
      <c r="J31" s="32">
        <f>J30+J29</f>
        <v/>
      </c>
    </row>
    <row r="32" ht="25.5" customHeight="1" s="192">
      <c r="A32" s="249" t="n"/>
      <c r="B32" s="249" t="n"/>
      <c r="C32" s="252" t="inlineStr">
        <is>
          <t>в том числе технологическое оборудование</t>
        </is>
      </c>
      <c r="D32" s="249" t="n"/>
      <c r="E32" s="156" t="n"/>
      <c r="F32" s="254" t="n"/>
      <c r="G32" s="32">
        <f>G31</f>
        <v/>
      </c>
      <c r="H32" s="255" t="n"/>
      <c r="I32" s="151" t="n"/>
      <c r="J32" s="32">
        <f>J31</f>
        <v/>
      </c>
    </row>
    <row r="33" ht="41.25" customFormat="1" customHeight="1" s="202">
      <c r="A33" s="249" t="n"/>
      <c r="B33" s="256" t="inlineStr">
        <is>
          <t xml:space="preserve">Материалы  </t>
        </is>
      </c>
      <c r="C33" s="307" t="n"/>
      <c r="D33" s="307" t="n"/>
      <c r="E33" s="307" t="n"/>
      <c r="F33" s="307" t="n"/>
      <c r="G33" s="307" t="n"/>
      <c r="H33" s="307" t="n"/>
      <c r="I33" s="307" t="n"/>
      <c r="J33" s="308" t="n"/>
    </row>
    <row r="34" ht="14.25" customFormat="1" customHeight="1" s="202">
      <c r="A34" s="249" t="n"/>
      <c r="B34" s="252" t="inlineStr">
        <is>
          <t>Основные материалы</t>
        </is>
      </c>
      <c r="C34" s="307" t="n"/>
      <c r="D34" s="307" t="n"/>
      <c r="E34" s="307" t="n"/>
      <c r="F34" s="307" t="n"/>
      <c r="G34" s="307" t="n"/>
      <c r="H34" s="308" t="n"/>
      <c r="I34" s="148" t="n"/>
      <c r="J34" s="148" t="n"/>
    </row>
    <row r="35" ht="14.25" customFormat="1" customHeight="1" s="202">
      <c r="A35" s="249" t="n">
        <v>7</v>
      </c>
      <c r="B35" s="149" t="inlineStr">
        <is>
          <t>22.2.01.03-0002</t>
        </is>
      </c>
      <c r="C35" s="252" t="inlineStr">
        <is>
          <t>Изолятор подвесной стеклянный ПСВ-160</t>
        </is>
      </c>
      <c r="D35" s="249" t="inlineStr">
        <is>
          <t>шт</t>
        </is>
      </c>
      <c r="E35" s="150" t="n">
        <v>28</v>
      </c>
      <c r="F35" s="254" t="n">
        <v>284.68</v>
      </c>
      <c r="G35" s="32">
        <f>ROUND(E35*F35,2)</f>
        <v/>
      </c>
      <c r="H35" s="152">
        <f>G35/$G$50</f>
        <v/>
      </c>
      <c r="I35" s="32">
        <f>ROUND(F35*Прил.10!$D$13,2)</f>
        <v/>
      </c>
      <c r="J35" s="32">
        <f>ROUND(I35*E35,2)</f>
        <v/>
      </c>
    </row>
    <row r="36" ht="19.5" customFormat="1" customHeight="1" s="202">
      <c r="A36" s="249" t="n">
        <v>8</v>
      </c>
      <c r="B36" s="149" t="inlineStr">
        <is>
          <t>20.5.04.04-0054</t>
        </is>
      </c>
      <c r="C36" s="252" t="inlineStr">
        <is>
          <t>Зажим натяжной спиральный НС-24,5-01</t>
        </is>
      </c>
      <c r="D36" s="249" t="inlineStr">
        <is>
          <t>шт</t>
        </is>
      </c>
      <c r="E36" s="150" t="n">
        <v>1</v>
      </c>
      <c r="F36" s="254" t="n">
        <v>457.82</v>
      </c>
      <c r="G36" s="32">
        <f>ROUND(E36*F36,2)</f>
        <v/>
      </c>
      <c r="H36" s="152">
        <f>G36/$G$50</f>
        <v/>
      </c>
      <c r="I36" s="32">
        <f>ROUND(F36*Прил.10!$D$13,2)</f>
        <v/>
      </c>
      <c r="J36" s="32">
        <f>ROUND(I36*E36,2)</f>
        <v/>
      </c>
    </row>
    <row r="37" ht="25.5" customFormat="1" customHeight="1" s="202">
      <c r="A37" s="249" t="n">
        <v>9</v>
      </c>
      <c r="B37" s="149" t="inlineStr">
        <is>
          <t>22.2.02.04-0038</t>
        </is>
      </c>
      <c r="C37" s="252" t="inlineStr">
        <is>
          <t>Звено промежуточное регулируемое ПРР-16-1</t>
        </is>
      </c>
      <c r="D37" s="249" t="inlineStr">
        <is>
          <t>шт</t>
        </is>
      </c>
      <c r="E37" s="150" t="n">
        <v>2</v>
      </c>
      <c r="F37" s="254" t="n">
        <v>228.79</v>
      </c>
      <c r="G37" s="32">
        <f>ROUND(E37*F37,2)</f>
        <v/>
      </c>
      <c r="H37" s="152">
        <f>G37/$G$50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202">
      <c r="A38" s="249" t="n"/>
      <c r="B38" s="249" t="n"/>
      <c r="C38" s="252" t="inlineStr">
        <is>
          <t>Итого основные материалы</t>
        </is>
      </c>
      <c r="D38" s="249" t="n"/>
      <c r="E38" s="150" t="n"/>
      <c r="F38" s="254" t="n"/>
      <c r="G38" s="32">
        <f>SUM(G35:G37)</f>
        <v/>
      </c>
      <c r="H38" s="255">
        <f>G38/$G$50</f>
        <v/>
      </c>
      <c r="I38" s="151" t="n"/>
      <c r="J38" s="32">
        <f>SUM(J35:J37)</f>
        <v/>
      </c>
    </row>
    <row r="39" outlineLevel="1" ht="14.25" customFormat="1" customHeight="1" s="202">
      <c r="A39" s="249" t="n">
        <v>10</v>
      </c>
      <c r="B39" s="149" t="inlineStr">
        <is>
          <t>20.1.02.21-0037</t>
        </is>
      </c>
      <c r="C39" s="252" t="inlineStr">
        <is>
          <t>Узел крепления КГН-16-5</t>
        </is>
      </c>
      <c r="D39" s="249" t="inlineStr">
        <is>
          <t>шт</t>
        </is>
      </c>
      <c r="E39" s="150" t="n">
        <v>1</v>
      </c>
      <c r="F39" s="254" t="n">
        <v>326.1</v>
      </c>
      <c r="G39" s="32">
        <f>ROUND(E39*F39,2)</f>
        <v/>
      </c>
      <c r="H39" s="152">
        <f>G39/$G$50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2">
      <c r="A40" s="249" t="n">
        <v>11</v>
      </c>
      <c r="B40" s="149" t="inlineStr">
        <is>
          <t>20.1.02.05-0006</t>
        </is>
      </c>
      <c r="C40" s="252" t="inlineStr">
        <is>
          <t>Коромысло: 2КЛ-12/16-1</t>
        </is>
      </c>
      <c r="D40" s="249" t="inlineStr">
        <is>
          <t>шт</t>
        </is>
      </c>
      <c r="E40" s="150" t="n">
        <v>1</v>
      </c>
      <c r="F40" s="254" t="n">
        <v>539.29</v>
      </c>
      <c r="G40" s="32">
        <f>ROUND(E40*F40,2)</f>
        <v/>
      </c>
      <c r="H40" s="152">
        <f>G40/$G$50</f>
        <v/>
      </c>
      <c r="I40" s="32">
        <f>ROUND(F40*Прил.10!$D$13,2)</f>
        <v/>
      </c>
      <c r="J40" s="32">
        <f>ROUND(I40*E40,2)</f>
        <v/>
      </c>
    </row>
    <row r="41" outlineLevel="1" ht="14.25" customFormat="1" customHeight="1" s="202">
      <c r="A41" s="249" t="n">
        <v>12</v>
      </c>
      <c r="B41" s="149" t="inlineStr">
        <is>
          <t>20.1.02.22-0026</t>
        </is>
      </c>
      <c r="C41" s="252" t="inlineStr">
        <is>
          <t>Ушко: У-16-20</t>
        </is>
      </c>
      <c r="D41" s="249" t="inlineStr">
        <is>
          <t>шт</t>
        </is>
      </c>
      <c r="E41" s="150" t="n">
        <v>1</v>
      </c>
      <c r="F41" s="254" t="n">
        <v>220.79</v>
      </c>
      <c r="G41" s="32">
        <f>ROUND(E41*F41,2)</f>
        <v/>
      </c>
      <c r="H41" s="152">
        <f>G41/$G$50</f>
        <v/>
      </c>
      <c r="I41" s="32">
        <f>ROUND(F41*Прил.10!$D$13,2)</f>
        <v/>
      </c>
      <c r="J41" s="32">
        <f>ROUND(I41*E41,2)</f>
        <v/>
      </c>
    </row>
    <row r="42" outlineLevel="1" ht="25.5" customFormat="1" customHeight="1" s="202">
      <c r="A42" s="249" t="n">
        <v>13</v>
      </c>
      <c r="B42" s="149" t="inlineStr">
        <is>
          <t>22.2.02.04-0012</t>
        </is>
      </c>
      <c r="C42" s="252" t="inlineStr">
        <is>
          <t>Звено промежуточное монтажное ПТМ-16-3</t>
        </is>
      </c>
      <c r="D42" s="249" t="inlineStr">
        <is>
          <t>шт</t>
        </is>
      </c>
      <c r="E42" s="150" t="n">
        <v>1</v>
      </c>
      <c r="F42" s="254" t="n">
        <v>148.2</v>
      </c>
      <c r="G42" s="32">
        <f>ROUND(E42*F42,2)</f>
        <v/>
      </c>
      <c r="H42" s="152">
        <f>G42/$G$50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02">
      <c r="A43" s="249" t="n">
        <v>14</v>
      </c>
      <c r="B43" s="149" t="inlineStr">
        <is>
          <t>01.7.15.10-0038</t>
        </is>
      </c>
      <c r="C43" s="252" t="inlineStr">
        <is>
          <t>Скобы трехлапчатые СКТ-16-1</t>
        </is>
      </c>
      <c r="D43" s="249" t="inlineStr">
        <is>
          <t>шт</t>
        </is>
      </c>
      <c r="E43" s="150" t="n">
        <v>1</v>
      </c>
      <c r="F43" s="254" t="n">
        <v>113.53</v>
      </c>
      <c r="G43" s="32">
        <f>ROUND(E43*F43,2)</f>
        <v/>
      </c>
      <c r="H43" s="152">
        <f>G43/$G$50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02">
      <c r="A44" s="249" t="n">
        <v>15</v>
      </c>
      <c r="B44" s="149" t="inlineStr">
        <is>
          <t>22.2.02.04-0049</t>
        </is>
      </c>
      <c r="C44" s="252" t="inlineStr">
        <is>
          <t>Звено промежуточное трехлапчатое ПРТ-16-1</t>
        </is>
      </c>
      <c r="D44" s="249" t="inlineStr">
        <is>
          <t>шт</t>
        </is>
      </c>
      <c r="E44" s="150" t="n">
        <v>1</v>
      </c>
      <c r="F44" s="254" t="n">
        <v>80.59999999999999</v>
      </c>
      <c r="G44" s="32">
        <f>ROUND(E44*F44,2)</f>
        <v/>
      </c>
      <c r="H44" s="152">
        <f>G44/$G$50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02">
      <c r="A45" s="249" t="n">
        <v>16</v>
      </c>
      <c r="B45" s="149" t="inlineStr">
        <is>
          <t>01.7.15.10-0034</t>
        </is>
      </c>
      <c r="C45" s="252" t="inlineStr">
        <is>
          <t>Скобы СК-16-1А</t>
        </is>
      </c>
      <c r="D45" s="249" t="inlineStr">
        <is>
          <t>шт</t>
        </is>
      </c>
      <c r="E45" s="150" t="n">
        <v>1</v>
      </c>
      <c r="F45" s="254" t="n">
        <v>70.76000000000001</v>
      </c>
      <c r="G45" s="32">
        <f>ROUND(E45*F45,2)</f>
        <v/>
      </c>
      <c r="H45" s="152">
        <f>G45/$G$50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02">
      <c r="A46" s="249" t="n">
        <v>17</v>
      </c>
      <c r="B46" s="149" t="inlineStr">
        <is>
          <t>22.2.02.04-0023</t>
        </is>
      </c>
      <c r="C46" s="252" t="inlineStr">
        <is>
          <t>Звено промежуточное прямое ПР-16-6</t>
        </is>
      </c>
      <c r="D46" s="249" t="inlineStr">
        <is>
          <t>шт</t>
        </is>
      </c>
      <c r="E46" s="150" t="n">
        <v>1</v>
      </c>
      <c r="F46" s="254" t="n">
        <v>60.08</v>
      </c>
      <c r="G46" s="32">
        <f>ROUND(E46*F46,2)</f>
        <v/>
      </c>
      <c r="H46" s="152">
        <f>G46/$G$50</f>
        <v/>
      </c>
      <c r="I46" s="32">
        <f>ROUND(F46*Прил.10!$D$13,2)</f>
        <v/>
      </c>
      <c r="J46" s="32">
        <f>ROUND(I46*E46,2)</f>
        <v/>
      </c>
    </row>
    <row r="47" outlineLevel="1" ht="14.25" customFormat="1" customHeight="1" s="202">
      <c r="A47" s="249" t="n">
        <v>18</v>
      </c>
      <c r="B47" s="149" t="inlineStr">
        <is>
          <t>20.1.02.14-0005</t>
        </is>
      </c>
      <c r="C47" s="252" t="inlineStr">
        <is>
          <t>Серьга СР-16-20</t>
        </is>
      </c>
      <c r="D47" s="249" t="inlineStr">
        <is>
          <t>шт</t>
        </is>
      </c>
      <c r="E47" s="150" t="n">
        <v>1</v>
      </c>
      <c r="F47" s="254" t="n">
        <v>21.5</v>
      </c>
      <c r="G47" s="32">
        <f>ROUND(E47*F47,2)</f>
        <v/>
      </c>
      <c r="H47" s="152">
        <f>G47/$G$50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202">
      <c r="A48" s="249" t="n">
        <v>19</v>
      </c>
      <c r="B48" s="149" t="inlineStr">
        <is>
          <t>999-9950</t>
        </is>
      </c>
      <c r="C48" s="252" t="inlineStr">
        <is>
          <t>Вспомогательные ненормируемые ресурсы (2% от Оплаты труда рабочих)</t>
        </is>
      </c>
      <c r="D48" s="249" t="inlineStr">
        <is>
          <t>руб</t>
        </is>
      </c>
      <c r="E48" s="150" t="n">
        <v>2.38</v>
      </c>
      <c r="F48" s="254" t="n">
        <v>1</v>
      </c>
      <c r="G48" s="32">
        <f>ROUND(E48*F48,2)</f>
        <v/>
      </c>
      <c r="H48" s="152">
        <f>G48/$G$50</f>
        <v/>
      </c>
      <c r="I48" s="32">
        <f>ROUND(F48*Прил.10!$D$13,2)</f>
        <v/>
      </c>
      <c r="J48" s="32">
        <f>ROUND(I48*E48,2)</f>
        <v/>
      </c>
    </row>
    <row r="49" ht="14.25" customFormat="1" customHeight="1" s="202">
      <c r="A49" s="249" t="n"/>
      <c r="B49" s="249" t="n"/>
      <c r="C49" s="252" t="inlineStr">
        <is>
          <t>Итого прочие материалы</t>
        </is>
      </c>
      <c r="D49" s="249" t="n"/>
      <c r="E49" s="253" t="n"/>
      <c r="F49" s="254" t="n"/>
      <c r="G49" s="32">
        <f>SUM(G39:G48)</f>
        <v/>
      </c>
      <c r="H49" s="255">
        <f>G49/G50</f>
        <v/>
      </c>
      <c r="I49" s="32" t="n"/>
      <c r="J49" s="32">
        <f>SUM(J39:J48)</f>
        <v/>
      </c>
    </row>
    <row r="50" ht="14.25" customFormat="1" customHeight="1" s="202">
      <c r="A50" s="249" t="n"/>
      <c r="B50" s="249" t="n"/>
      <c r="C50" s="256" t="inlineStr">
        <is>
          <t>Итого по разделу «Материалы»</t>
        </is>
      </c>
      <c r="D50" s="249" t="n"/>
      <c r="E50" s="253" t="n"/>
      <c r="F50" s="254" t="n"/>
      <c r="G50" s="32">
        <f>G38+G49</f>
        <v/>
      </c>
      <c r="H50" s="255" t="n">
        <v>1</v>
      </c>
      <c r="I50" s="32" t="n"/>
      <c r="J50" s="32">
        <f>J38+J49</f>
        <v/>
      </c>
    </row>
    <row r="51" ht="14.25" customFormat="1" customHeight="1" s="202">
      <c r="A51" s="249" t="n"/>
      <c r="B51" s="249" t="n"/>
      <c r="C51" s="252" t="inlineStr">
        <is>
          <t>ИТОГО ПО РМ</t>
        </is>
      </c>
      <c r="D51" s="249" t="n"/>
      <c r="E51" s="253" t="n"/>
      <c r="F51" s="254" t="n"/>
      <c r="G51" s="32">
        <f>G15+G26+G50</f>
        <v/>
      </c>
      <c r="H51" s="255" t="n"/>
      <c r="I51" s="32" t="n"/>
      <c r="J51" s="32">
        <f>J15+J26+J50</f>
        <v/>
      </c>
    </row>
    <row r="52" ht="14.25" customFormat="1" customHeight="1" s="202">
      <c r="A52" s="249" t="n"/>
      <c r="B52" s="249" t="n"/>
      <c r="C52" s="252" t="inlineStr">
        <is>
          <t>Накладные расходы</t>
        </is>
      </c>
      <c r="D52" s="157">
        <f>ROUND(G52/(G$17+$G$15),2)</f>
        <v/>
      </c>
      <c r="E52" s="253" t="n"/>
      <c r="F52" s="254" t="n"/>
      <c r="G52" s="32" t="n">
        <v>160.92</v>
      </c>
      <c r="H52" s="255" t="n"/>
      <c r="I52" s="32" t="n"/>
      <c r="J52" s="32">
        <f>ROUND(D52*(J15+J17),2)</f>
        <v/>
      </c>
    </row>
    <row r="53" ht="14.25" customFormat="1" customHeight="1" s="202">
      <c r="A53" s="249" t="n"/>
      <c r="B53" s="249" t="n"/>
      <c r="C53" s="252" t="inlineStr">
        <is>
          <t>Сметная прибыль</t>
        </is>
      </c>
      <c r="D53" s="157">
        <f>ROUND(G53/(G$15+G$17),2)</f>
        <v/>
      </c>
      <c r="E53" s="253" t="n"/>
      <c r="F53" s="254" t="n"/>
      <c r="G53" s="32" t="n">
        <v>84.61</v>
      </c>
      <c r="H53" s="255" t="n"/>
      <c r="I53" s="32" t="n"/>
      <c r="J53" s="32">
        <f>ROUND(D53*(J15+J17),2)</f>
        <v/>
      </c>
    </row>
    <row r="54" ht="14.25" customFormat="1" customHeight="1" s="202">
      <c r="A54" s="249" t="n"/>
      <c r="B54" s="249" t="n"/>
      <c r="C54" s="252" t="inlineStr">
        <is>
          <t>Итого СМР (с НР и СП)</t>
        </is>
      </c>
      <c r="D54" s="249" t="n"/>
      <c r="E54" s="253" t="n"/>
      <c r="F54" s="254" t="n"/>
      <c r="G54" s="32">
        <f>G15+G26+G50+G52+G53</f>
        <v/>
      </c>
      <c r="H54" s="255" t="n"/>
      <c r="I54" s="32" t="n"/>
      <c r="J54" s="32">
        <f>J15+J26+J50+J52+J53</f>
        <v/>
      </c>
    </row>
    <row r="55" ht="14.25" customFormat="1" customHeight="1" s="202">
      <c r="A55" s="249" t="n"/>
      <c r="B55" s="249" t="n"/>
      <c r="C55" s="252" t="inlineStr">
        <is>
          <t>ВСЕГО СМР + ОБОРУДОВАНИЕ</t>
        </is>
      </c>
      <c r="D55" s="249" t="n"/>
      <c r="E55" s="253" t="n"/>
      <c r="F55" s="254" t="n"/>
      <c r="G55" s="32">
        <f>G54+G31</f>
        <v/>
      </c>
      <c r="H55" s="255" t="n"/>
      <c r="I55" s="32" t="n"/>
      <c r="J55" s="32">
        <f>J54+J31</f>
        <v/>
      </c>
    </row>
    <row r="56" ht="34.5" customFormat="1" customHeight="1" s="202">
      <c r="A56" s="249" t="n"/>
      <c r="B56" s="249" t="n"/>
      <c r="C56" s="252" t="inlineStr">
        <is>
          <t>ИТОГО ПОКАЗАТЕЛЬ НА ЕД. ИЗМ.</t>
        </is>
      </c>
      <c r="D56" s="249" t="inlineStr">
        <is>
          <t>гирлянда изоляторов</t>
        </is>
      </c>
      <c r="E56" s="253" t="n">
        <v>1</v>
      </c>
      <c r="F56" s="254" t="n"/>
      <c r="G56" s="32">
        <f>G55/E56</f>
        <v/>
      </c>
      <c r="H56" s="255" t="n"/>
      <c r="I56" s="32" t="n"/>
      <c r="J56" s="32">
        <f>J55/E56</f>
        <v/>
      </c>
    </row>
    <row r="58" s="192">
      <c r="B58" s="193" t="inlineStr">
        <is>
          <t>Составил ______________________        А.Р. Маркова</t>
        </is>
      </c>
      <c r="C58" s="202" t="n"/>
    </row>
    <row r="59" s="192">
      <c r="B59" s="203" t="inlineStr">
        <is>
          <t xml:space="preserve">                         (подпись, инициалы, фамилия)</t>
        </is>
      </c>
      <c r="C59" s="202" t="n"/>
    </row>
    <row r="60" s="192">
      <c r="B60" s="193" t="n"/>
      <c r="C60" s="202" t="n"/>
    </row>
    <row r="61" s="192">
      <c r="B61" s="193" t="inlineStr">
        <is>
          <t>Проверил ______________________        А.В. Костянецкая</t>
        </is>
      </c>
      <c r="C61" s="202" t="n"/>
    </row>
    <row r="62" s="192">
      <c r="B62" s="203" t="inlineStr">
        <is>
          <t xml:space="preserve">                        (подпись, инициалы, фамилия)</t>
        </is>
      </c>
      <c r="C62" s="202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:XFD19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4.140625" customWidth="1" style="192" min="7" max="7"/>
  </cols>
  <sheetData>
    <row r="1">
      <c r="A1" s="257" t="inlineStr">
        <is>
          <t>Приложение №6</t>
        </is>
      </c>
    </row>
    <row r="2" ht="21.75" customHeight="1" s="192">
      <c r="A2" s="257" t="n"/>
      <c r="B2" s="257" t="n"/>
      <c r="C2" s="257" t="n"/>
      <c r="D2" s="257" t="n"/>
      <c r="E2" s="257" t="n"/>
      <c r="F2" s="257" t="n"/>
      <c r="G2" s="257" t="n"/>
    </row>
    <row r="3">
      <c r="A3" s="216" t="inlineStr">
        <is>
          <t>Расчет стоимости оборудования</t>
        </is>
      </c>
    </row>
    <row r="4" ht="25.5" customHeight="1" s="192">
      <c r="A4" s="219" t="inlineStr">
        <is>
          <t>Наименование разрабатываемого показателя УНЦ - Гирлянды изоляторов ВЛ напряжение 330 кВ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2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9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2">
      <c r="A9" s="25" t="n"/>
      <c r="B9" s="25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 s="192">
      <c r="A10" s="249" t="n"/>
      <c r="B10" s="256" t="n"/>
      <c r="C10" s="252" t="inlineStr">
        <is>
          <t>ИТОГО ИНЖЕНЕРНОЕ ОБОРУДОВАНИЕ</t>
        </is>
      </c>
      <c r="D10" s="256" t="n"/>
      <c r="E10" s="104" t="n"/>
      <c r="F10" s="254" t="n"/>
      <c r="G10" s="254" t="n">
        <v>0</v>
      </c>
    </row>
    <row r="11">
      <c r="A11" s="249" t="n"/>
      <c r="B11" s="25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 s="192">
      <c r="A12" s="249" t="n"/>
      <c r="B12" s="252" t="n"/>
      <c r="C12" s="252" t="inlineStr">
        <is>
          <t>ИТОГО ТЕХНОЛОГИЧЕСКОЕ ОБОРУДОВАНИЕ</t>
        </is>
      </c>
      <c r="D12" s="252" t="n"/>
      <c r="E12" s="261" t="n"/>
      <c r="F12" s="254" t="n"/>
      <c r="G12" s="32" t="n">
        <v>0</v>
      </c>
    </row>
    <row r="13" ht="19.5" customHeight="1" s="192">
      <c r="A13" s="249" t="n"/>
      <c r="B13" s="252" t="n"/>
      <c r="C13" s="252" t="inlineStr">
        <is>
          <t>Всего по разделу «Оборудование»</t>
        </is>
      </c>
      <c r="D13" s="252" t="n"/>
      <c r="E13" s="261" t="n"/>
      <c r="F13" s="254" t="n"/>
      <c r="G13" s="32" t="n">
        <v>0</v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 s="192">
      <c r="B15" s="193" t="inlineStr">
        <is>
          <t>Составил ______________________        А.Р. Маркова</t>
        </is>
      </c>
      <c r="C15" s="202" t="n"/>
    </row>
    <row r="16" s="192">
      <c r="B16" s="203" t="inlineStr">
        <is>
          <t xml:space="preserve">                         (подпись, инициалы, фамилия)</t>
        </is>
      </c>
      <c r="C16" s="202" t="n"/>
    </row>
    <row r="17" s="192">
      <c r="B17" s="193" t="n"/>
      <c r="C17" s="202" t="n"/>
    </row>
    <row r="18" s="192">
      <c r="B18" s="193" t="inlineStr">
        <is>
          <t>Проверил ______________________        А.В. Костянецкая</t>
        </is>
      </c>
      <c r="C18" s="202" t="n"/>
    </row>
    <row r="19" s="192">
      <c r="B19" s="203" t="inlineStr">
        <is>
          <t xml:space="preserve">                        (подпись, инициалы, фамилия)</t>
        </is>
      </c>
      <c r="C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:XFD17"/>
    </sheetView>
  </sheetViews>
  <sheetFormatPr baseColWidth="8" defaultColWidth="8.85546875" defaultRowHeight="15"/>
  <cols>
    <col width="19.28515625" customWidth="1" style="192" min="1" max="1"/>
    <col width="25.42578125" customWidth="1" style="192" min="2" max="2"/>
    <col width="38.28515625" customWidth="1" style="192" min="3" max="3"/>
    <col width="33.28515625" customWidth="1" style="192" min="4" max="4"/>
    <col width="8.85546875" customWidth="1" style="192" min="5" max="5"/>
  </cols>
  <sheetData>
    <row r="1">
      <c r="B1" s="193" t="n"/>
      <c r="C1" s="193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>
      <c r="A3" s="216" t="inlineStr">
        <is>
          <t>Расчет показателя УНЦ</t>
        </is>
      </c>
    </row>
    <row r="4" ht="25.15" customHeight="1" s="192">
      <c r="A4" s="216" t="n"/>
      <c r="B4" s="216" t="n"/>
      <c r="C4" s="216" t="n"/>
      <c r="D4" s="216" t="n"/>
    </row>
    <row r="5" ht="44.45" customHeight="1" s="192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км ВЛ</t>
        </is>
      </c>
      <c r="D6" s="219" t="n"/>
    </row>
    <row r="7">
      <c r="A7" s="193" t="n"/>
      <c r="B7" s="193" t="n"/>
      <c r="C7" s="193" t="n"/>
      <c r="D7" s="193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4.45" customHeight="1" s="192">
      <c r="A11" s="249" t="inlineStr">
        <is>
          <t>Л10-04-2</t>
        </is>
      </c>
      <c r="B11" s="249" t="inlineStr">
        <is>
          <t>УНЦ гирлянды изоляторов ВЛ</t>
        </is>
      </c>
      <c r="C11" s="198">
        <f>D5</f>
        <v/>
      </c>
      <c r="D11" s="199">
        <f>'Прил.4 РМ'!C41/1000</f>
        <v/>
      </c>
    </row>
    <row r="12">
      <c r="A12" s="200" t="n"/>
      <c r="B12" s="201" t="n"/>
      <c r="C12" s="200" t="n"/>
      <c r="D12" s="200" t="n"/>
    </row>
    <row r="13" s="192">
      <c r="B13" s="193" t="inlineStr">
        <is>
          <t>Составил ______________________        А.Р. Маркова</t>
        </is>
      </c>
      <c r="C13" s="202" t="n"/>
    </row>
    <row r="14" s="192">
      <c r="B14" s="203" t="inlineStr">
        <is>
          <t xml:space="preserve">                         (подпись, инициалы, фамилия)</t>
        </is>
      </c>
      <c r="C14" s="202" t="n"/>
    </row>
    <row r="15" s="192">
      <c r="B15" s="193" t="n"/>
      <c r="C15" s="202" t="n"/>
    </row>
    <row r="16" s="192">
      <c r="B16" s="193" t="inlineStr">
        <is>
          <t>Проверил ______________________        А.В. Костянецкая</t>
        </is>
      </c>
      <c r="C16" s="202" t="n"/>
    </row>
    <row r="17" s="192">
      <c r="B17" s="203" t="inlineStr">
        <is>
          <t xml:space="preserve">                        (подпись, инициалы, фамилия)</t>
        </is>
      </c>
      <c r="C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8" zoomScale="60" zoomScaleNormal="85" workbookViewId="0">
      <selection activeCell="A27" sqref="A27:XFD31"/>
    </sheetView>
  </sheetViews>
  <sheetFormatPr baseColWidth="8" defaultRowHeight="15"/>
  <cols>
    <col width="9.140625" customWidth="1" style="192" min="1" max="1"/>
    <col width="40.7109375" customWidth="1" style="192" min="2" max="2"/>
    <col width="37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37" t="n"/>
    </row>
    <row r="6" ht="15.75" customHeight="1" s="19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3" t="inlineStr">
        <is>
          <t>*Стоимость ПНР принята на основании СД ОП</t>
        </is>
      </c>
    </row>
    <row r="8">
      <c r="B8" s="263" t="n"/>
      <c r="C8" s="263" t="n"/>
      <c r="D8" s="263" t="n"/>
      <c r="E8" s="263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47.2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01.04.2023г. №17772-ИФ/09  прил.9</t>
        </is>
      </c>
      <c r="D11" s="230" t="n">
        <v>46.83</v>
      </c>
    </row>
    <row r="12" ht="47.2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01.04.2023г. №17772-ИФ/09  прил.9</t>
        </is>
      </c>
      <c r="D12" s="230" t="n">
        <v>11.79</v>
      </c>
    </row>
    <row r="13" ht="47.2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01.04.2023г. №17772-ИФ/09  прил.9</t>
        </is>
      </c>
      <c r="D13" s="230" t="n">
        <v>9.140000000000001</v>
      </c>
    </row>
    <row r="14" ht="30.75" customHeight="1" s="192">
      <c r="B14" s="23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192">
      <c r="B17" s="230" t="n"/>
      <c r="C17" s="230" t="n"/>
      <c r="D17" s="230" t="n"/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38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38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38" t="n">
        <v>0.03</v>
      </c>
    </row>
    <row r="21" ht="18.75" customHeight="1" s="192">
      <c r="B21" s="116" t="n"/>
    </row>
    <row r="22" ht="18.75" customHeight="1" s="192">
      <c r="B22" s="116" t="n"/>
    </row>
    <row r="23" ht="18.75" customHeight="1" s="192">
      <c r="B23" s="116" t="n"/>
    </row>
    <row r="24" ht="18.75" customHeight="1" s="192">
      <c r="B24" s="116" t="n"/>
    </row>
    <row r="27" s="192">
      <c r="B27" s="193" t="inlineStr">
        <is>
          <t>Составил ______________________        А.Р. Маркова</t>
        </is>
      </c>
      <c r="C27" s="202" t="n"/>
    </row>
    <row r="28" s="192">
      <c r="B28" s="203" t="inlineStr">
        <is>
          <t xml:space="preserve">                         (подпись, инициалы, фамилия)</t>
        </is>
      </c>
      <c r="C28" s="202" t="n"/>
    </row>
    <row r="29" s="192">
      <c r="B29" s="193" t="n"/>
      <c r="C29" s="202" t="n"/>
    </row>
    <row r="30" s="192">
      <c r="B30" s="193" t="inlineStr">
        <is>
          <t>Проверил ______________________        А.В. Костянецкая</t>
        </is>
      </c>
      <c r="C30" s="202" t="n"/>
    </row>
    <row r="31" s="192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92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92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92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92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92">
      <c r="A9" s="127" t="inlineStr">
        <is>
          <t>1.3</t>
        </is>
      </c>
      <c r="B9" s="12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29" t="n">
        <v>1</v>
      </c>
      <c r="F9" s="128" t="n"/>
      <c r="G9" s="130" t="n"/>
    </row>
    <row r="10" ht="15.75" customHeight="1" s="192">
      <c r="A10" s="127" t="inlineStr">
        <is>
          <t>1.4</t>
        </is>
      </c>
      <c r="B10" s="128" t="inlineStr">
        <is>
          <t>Средний разряд работ</t>
        </is>
      </c>
      <c r="C10" s="230" t="n"/>
      <c r="D10" s="230" t="n"/>
      <c r="E10" s="131" t="n">
        <v>4</v>
      </c>
      <c r="F10" s="128" t="inlineStr">
        <is>
          <t>РТМ</t>
        </is>
      </c>
      <c r="G10" s="130" t="n"/>
    </row>
    <row r="11" ht="78.75" customHeight="1" s="192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92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2">
      <c r="A13" s="127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2025-01-24T12:09:46Z</dcterms:modified>
  <cp:lastModifiedBy>Danil</cp:lastModifiedBy>
  <cp:lastPrinted>2023-11-29T08:35:12Z</cp:lastPrinted>
</cp:coreProperties>
</file>