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169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0" zoomScale="70" zoomScaleNormal="70" workbookViewId="0">
      <selection activeCell="A26" sqref="A26:XFD30"/>
    </sheetView>
  </sheetViews>
  <sheetFormatPr baseColWidth="8" defaultRowHeight="15"/>
  <cols>
    <col width="36.85546875" customWidth="1" style="202" min="3" max="3"/>
    <col width="43.85546875" customWidth="1" style="202" min="4" max="4"/>
  </cols>
  <sheetData>
    <row r="3" ht="15.75" customHeight="1" s="202">
      <c r="B3" s="232" t="inlineStr">
        <is>
          <t>Приложение № 1</t>
        </is>
      </c>
    </row>
    <row r="4" ht="18.75" customHeight="1" s="202">
      <c r="B4" s="233" t="inlineStr">
        <is>
          <t>Сравнительная таблица отбора объекта-представителя</t>
        </is>
      </c>
    </row>
    <row r="5" ht="84" customHeight="1" s="202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15" t="n"/>
      <c r="C6" s="115" t="n"/>
      <c r="D6" s="115" t="n"/>
    </row>
    <row r="7" ht="42" customHeight="1" s="202">
      <c r="B7" s="231" t="inlineStr">
        <is>
          <t>Наименование разрабатываемого показателя УНЦ - Гирлянды изоляторов ВЛ напряжение 500 кВ</t>
        </is>
      </c>
    </row>
    <row r="8" ht="31.5" customHeight="1" s="202">
      <c r="B8" s="231" t="inlineStr">
        <is>
          <t>Сопоставимый уровень цен: 4 кв. 2016 г.</t>
        </is>
      </c>
    </row>
    <row r="9" ht="15.75" customHeight="1" s="202">
      <c r="B9" s="231" t="inlineStr">
        <is>
          <t>Единица измерения  — 1 км ВЛ</t>
        </is>
      </c>
    </row>
    <row r="10" ht="18.75" customHeight="1" s="202">
      <c r="B10" s="116" t="n"/>
    </row>
    <row r="11" ht="15.75" customHeight="1" s="202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2">
      <c r="B12" s="238" t="n">
        <v>1</v>
      </c>
      <c r="C12" s="118" t="inlineStr">
        <is>
          <t>Наименование объекта-представителя</t>
        </is>
      </c>
      <c r="D12" s="214" t="inlineStr">
        <is>
          <t>ПС 500 кВ Преображенская</t>
        </is>
      </c>
    </row>
    <row r="13" ht="31.5" customHeight="1" s="202">
      <c r="B13" s="238" t="n">
        <v>2</v>
      </c>
      <c r="C13" s="118" t="inlineStr">
        <is>
          <t>Наименование субъекта Российской Федерации</t>
        </is>
      </c>
      <c r="D13" s="214" t="inlineStr">
        <is>
          <t>Оренбургская область</t>
        </is>
      </c>
    </row>
    <row r="14" ht="15.75" customHeight="1" s="202">
      <c r="B14" s="238" t="n">
        <v>3</v>
      </c>
      <c r="C14" s="118" t="inlineStr">
        <is>
          <t>Климатический район и подрайон</t>
        </is>
      </c>
      <c r="D14" s="214" t="inlineStr">
        <is>
          <t>IВ</t>
        </is>
      </c>
    </row>
    <row r="15" ht="15.75" customHeight="1" s="202">
      <c r="B15" s="238" t="n">
        <v>4</v>
      </c>
      <c r="C15" s="118" t="inlineStr">
        <is>
          <t>Мощность объекта</t>
        </is>
      </c>
      <c r="D15" s="214" t="n">
        <v>0.16</v>
      </c>
    </row>
    <row r="16" ht="161.25" customHeight="1" s="202">
      <c r="B16" s="238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Гирлянды изоляторов</t>
        </is>
      </c>
    </row>
    <row r="17" ht="95.25" customHeight="1" s="202">
      <c r="B17" s="238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202">
      <c r="B18" s="120" t="inlineStr">
        <is>
          <t>6.1</t>
        </is>
      </c>
      <c r="C18" s="118" t="inlineStr">
        <is>
          <t>строительно-монтажные работы</t>
        </is>
      </c>
      <c r="D18" s="214" t="n">
        <v>318.69</v>
      </c>
    </row>
    <row r="19" ht="15.75" customHeight="1" s="202">
      <c r="B19" s="120" t="inlineStr">
        <is>
          <t>6.2</t>
        </is>
      </c>
      <c r="C19" s="118" t="inlineStr">
        <is>
          <t>оборудование и инвентарь</t>
        </is>
      </c>
      <c r="D19" s="216" t="n">
        <v>0</v>
      </c>
    </row>
    <row r="20" ht="15.75" customHeight="1" s="202">
      <c r="B20" s="120" t="inlineStr">
        <is>
          <t>6.3</t>
        </is>
      </c>
      <c r="C20" s="118" t="inlineStr">
        <is>
          <t>пусконаладочные работы</t>
        </is>
      </c>
      <c r="D20" s="216" t="n">
        <v>0</v>
      </c>
    </row>
    <row r="21" ht="31.5" customHeight="1" s="202">
      <c r="B21" s="120" t="inlineStr">
        <is>
          <t>6.4</t>
        </is>
      </c>
      <c r="C21" s="118" t="inlineStr">
        <is>
          <t>прочие и лимитированные затраты</t>
        </is>
      </c>
      <c r="D21" s="216">
        <f>D18*3.9%+(D18+D18*3.9%)*3.2%</f>
        <v/>
      </c>
    </row>
    <row r="22" ht="15.75" customHeight="1" s="202">
      <c r="B22" s="238" t="n">
        <v>7</v>
      </c>
      <c r="C22" s="118" t="inlineStr">
        <is>
          <t>Сопоставимый уровень цен</t>
        </is>
      </c>
      <c r="D22" s="214" t="inlineStr">
        <is>
          <t>4 кв. 2016 г.</t>
        </is>
      </c>
    </row>
    <row r="23" ht="110.25" customHeight="1" s="202">
      <c r="B23" s="238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D17/5.17*7.62</f>
        <v/>
      </c>
    </row>
    <row r="24" ht="61.5" customHeight="1" s="202">
      <c r="B24" s="238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37.5" customHeight="1" s="202">
      <c r="B25" s="121" t="n"/>
      <c r="C25" s="122" t="n"/>
      <c r="D25" s="122" t="n"/>
    </row>
    <row r="26" s="202">
      <c r="B26" s="203" t="inlineStr">
        <is>
          <t>Составил ______________________        А.Р. Маркова</t>
        </is>
      </c>
      <c r="C26" s="212" t="n"/>
    </row>
    <row r="27" s="202">
      <c r="B27" s="213" t="inlineStr">
        <is>
          <t xml:space="preserve">                         (подпись, инициалы, фамилия)</t>
        </is>
      </c>
      <c r="C27" s="212" t="n"/>
    </row>
    <row r="28" s="202">
      <c r="B28" s="203" t="n"/>
      <c r="C28" s="212" t="n"/>
    </row>
    <row r="29" s="202">
      <c r="B29" s="203" t="inlineStr">
        <is>
          <t>Проверил ______________________        А.В. Костянецкая</t>
        </is>
      </c>
      <c r="C29" s="212" t="n"/>
    </row>
    <row r="30" s="202">
      <c r="B30" s="213" t="inlineStr">
        <is>
          <t xml:space="preserve">                        (подпись, инициалы, фамилия)</t>
        </is>
      </c>
      <c r="C30" s="212" t="n"/>
    </row>
    <row r="31" ht="15.75" customHeight="1" s="202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8" zoomScaleNormal="70" workbookViewId="0">
      <selection activeCell="A18" sqref="A18:XFD22"/>
    </sheetView>
  </sheetViews>
  <sheetFormatPr baseColWidth="8" defaultRowHeight="15"/>
  <cols>
    <col width="5.5703125" customWidth="1" style="202" min="1" max="1"/>
    <col width="5.7109375" customWidth="1" style="202" min="2" max="2"/>
    <col width="30.7109375" customWidth="1" style="202" min="3" max="3"/>
    <col width="13.42578125" customWidth="1" style="202" min="4" max="4"/>
    <col width="17.42578125" customWidth="1" style="202" min="5" max="5"/>
    <col width="10.42578125" customWidth="1" style="202" min="6" max="6"/>
    <col width="13" customWidth="1" style="202" min="7" max="7"/>
    <col width="9.7109375" customWidth="1" style="202" min="8" max="8"/>
    <col width="11.28515625" customWidth="1" style="202" min="9" max="9"/>
    <col width="13" customWidth="1" style="202" min="10" max="10"/>
  </cols>
  <sheetData>
    <row r="3" ht="15.75" customHeight="1" s="202">
      <c r="B3" s="232" t="inlineStr">
        <is>
          <t>Приложение № 2</t>
        </is>
      </c>
    </row>
    <row r="4" ht="15.75" customHeight="1" s="202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2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202">
      <c r="B6" s="231" t="inlineStr">
        <is>
          <t>Наименование разрабатываемого показателя УНЦ - Гирлянды изоляторов ВЛ напряжение 500 кВ</t>
        </is>
      </c>
    </row>
    <row r="7" ht="15.75" customHeight="1" s="202">
      <c r="B7" s="231" t="inlineStr">
        <is>
          <t>Единица измерения  — 1 км ВЛ</t>
        </is>
      </c>
    </row>
    <row r="8" ht="18.75" customHeight="1" s="202">
      <c r="B8" s="116" t="n"/>
    </row>
    <row r="9" ht="15.75" customHeight="1" s="202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 s="202">
      <c r="B10" s="317" t="n"/>
      <c r="C10" s="317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2016г., тыс. руб.</t>
        </is>
      </c>
      <c r="G10" s="315" t="n"/>
      <c r="H10" s="315" t="n"/>
      <c r="I10" s="315" t="n"/>
      <c r="J10" s="316" t="n"/>
    </row>
    <row r="11" ht="90" customHeight="1" s="202">
      <c r="B11" s="318" t="n"/>
      <c r="C11" s="318" t="n"/>
      <c r="D11" s="318" t="n"/>
      <c r="E11" s="318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14.6" customHeight="1" s="202">
      <c r="B12" s="218" t="n">
        <v>1</v>
      </c>
      <c r="C12" s="218" t="inlineStr">
        <is>
          <t>Гирлянды изоляторов</t>
        </is>
      </c>
      <c r="D12" s="218" t="inlineStr">
        <is>
          <t>02-01-02-5</t>
        </is>
      </c>
      <c r="E12" s="218" t="inlineStr">
        <is>
          <t xml:space="preserve">Установка автотрансформаторов.. Электротехнические решения </t>
        </is>
      </c>
      <c r="F12" s="218" t="n"/>
      <c r="G12" s="219">
        <f>61642.69*5.17/1000</f>
        <v/>
      </c>
      <c r="H12" s="219" t="n"/>
      <c r="I12" s="219" t="n"/>
      <c r="J12" s="219">
        <f>SUM(F12:I12)</f>
        <v/>
      </c>
    </row>
    <row r="13" ht="15.75" customHeight="1" s="202">
      <c r="B13" s="235" t="inlineStr">
        <is>
          <t>Всего по объекту:</t>
        </is>
      </c>
      <c r="C13" s="319" t="n"/>
      <c r="D13" s="319" t="n"/>
      <c r="E13" s="320" t="n"/>
      <c r="F13" s="220" t="n"/>
      <c r="G13" s="221">
        <f>G12</f>
        <v/>
      </c>
      <c r="H13" s="221" t="n"/>
      <c r="I13" s="221" t="n"/>
      <c r="J13" s="221" t="n"/>
    </row>
    <row r="14" ht="28.5" customHeight="1" s="202">
      <c r="B14" s="236" t="inlineStr">
        <is>
          <t>Всего по объекту в сопоставимом уровне цен 4 кв. 2016г:</t>
        </is>
      </c>
      <c r="C14" s="315" t="n"/>
      <c r="D14" s="315" t="n"/>
      <c r="E14" s="316" t="n"/>
      <c r="F14" s="222" t="n"/>
      <c r="G14" s="223">
        <f>G13</f>
        <v/>
      </c>
      <c r="H14" s="223" t="n"/>
      <c r="I14" s="223" t="n"/>
      <c r="J14" s="223">
        <f>SUM(F14:I14)</f>
        <v/>
      </c>
    </row>
    <row r="15" ht="18.75" customHeight="1" s="202">
      <c r="B15" s="116" t="n"/>
    </row>
    <row r="18" s="202">
      <c r="B18" s="203" t="inlineStr">
        <is>
          <t>Составил ______________________        А.Р. Маркова</t>
        </is>
      </c>
      <c r="C18" s="212" t="n"/>
    </row>
    <row r="19" s="202">
      <c r="B19" s="213" t="inlineStr">
        <is>
          <t xml:space="preserve">                         (подпись, инициалы, фамилия)</t>
        </is>
      </c>
      <c r="C19" s="212" t="n"/>
    </row>
    <row r="20" s="202">
      <c r="B20" s="203" t="n"/>
      <c r="C20" s="212" t="n"/>
    </row>
    <row r="21" s="202">
      <c r="B21" s="203" t="inlineStr">
        <is>
          <t>Проверил ______________________        А.В. Костянецкая</t>
        </is>
      </c>
      <c r="C21" s="212" t="n"/>
    </row>
    <row r="22" s="202">
      <c r="B22" s="213" t="inlineStr">
        <is>
          <t xml:space="preserve">                        (подпись, инициалы, фамилия)</t>
        </is>
      </c>
      <c r="C22" s="21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1"/>
  <sheetViews>
    <sheetView view="pageBreakPreview" topLeftCell="A22" zoomScale="84" workbookViewId="0">
      <selection activeCell="D46" sqref="D46"/>
    </sheetView>
  </sheetViews>
  <sheetFormatPr baseColWidth="8" defaultRowHeight="15"/>
  <cols>
    <col width="8.5703125" customWidth="1" style="202" min="1" max="1"/>
    <col width="12.85546875" customWidth="1" style="202" min="2" max="2"/>
    <col width="16.85546875" customWidth="1" style="202" min="3" max="3"/>
    <col width="49.85546875" customWidth="1" style="202" min="4" max="4"/>
    <col width="12.28515625" customWidth="1" style="202" min="5" max="5"/>
    <col width="19.85546875" customWidth="1" style="202" min="6" max="6"/>
    <col width="17.85546875" customWidth="1" style="202" min="7" max="7"/>
    <col width="19.42578125" customWidth="1" style="177" min="8" max="8"/>
    <col width="10.140625" customWidth="1" style="202" min="9" max="9"/>
  </cols>
  <sheetData>
    <row r="2" ht="15.75" customHeight="1" s="202">
      <c r="A2" s="232" t="inlineStr">
        <is>
          <t xml:space="preserve">Приложение № 3 </t>
        </is>
      </c>
      <c r="I2" s="121" t="n"/>
    </row>
    <row r="3" ht="18.75" customHeight="1" s="202">
      <c r="A3" s="233" t="inlineStr">
        <is>
          <t>Объектная ресурсная ведомость</t>
        </is>
      </c>
    </row>
    <row r="4" ht="25.5" customHeight="1" s="202">
      <c r="B4" s="176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202">
      <c r="C5" s="156" t="n"/>
      <c r="D5" s="156" t="n"/>
      <c r="E5" s="156" t="n"/>
      <c r="F5" s="156" t="n"/>
      <c r="G5" s="156" t="n"/>
      <c r="H5" s="157" t="n"/>
    </row>
    <row r="6" ht="15" customHeight="1" s="202">
      <c r="A6" s="246" t="inlineStr">
        <is>
          <t>Наименование разрабатываемого показателя УНЦ - Гирлянды изоляторов ВЛ напряжение 500 кВ</t>
        </is>
      </c>
      <c r="G6" s="158" t="n"/>
      <c r="H6" s="159" t="n"/>
    </row>
    <row r="7" ht="14.25" customHeight="1" s="202">
      <c r="G7" s="158" t="n"/>
      <c r="H7" s="159" t="n"/>
    </row>
    <row r="8" ht="15.75" customHeight="1" s="202">
      <c r="C8" s="160" t="n"/>
      <c r="D8" s="161" t="n"/>
      <c r="E8" s="162" t="n"/>
      <c r="F8" s="163" t="n"/>
      <c r="G8" s="164" t="n"/>
      <c r="H8" s="165" t="n"/>
    </row>
    <row r="9" ht="38.25" customHeight="1" s="202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16" t="n"/>
    </row>
    <row r="10" ht="40.5" customHeight="1" s="202">
      <c r="A10" s="318" t="n"/>
      <c r="B10" s="318" t="n"/>
      <c r="C10" s="318" t="n"/>
      <c r="D10" s="318" t="n"/>
      <c r="E10" s="318" t="n"/>
      <c r="F10" s="318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2">
      <c r="A11" s="238" t="n">
        <v>1</v>
      </c>
      <c r="B11" s="166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6" t="n">
        <v>6</v>
      </c>
      <c r="H11" s="166" t="n">
        <v>7</v>
      </c>
    </row>
    <row r="12" ht="15" customHeight="1" s="202">
      <c r="A12" s="244" t="inlineStr">
        <is>
          <t>Затраты труда рабочих</t>
        </is>
      </c>
      <c r="B12" s="315" t="n"/>
      <c r="C12" s="315" t="n"/>
      <c r="D12" s="316" t="n"/>
      <c r="E12" s="167" t="n"/>
      <c r="F12" s="182">
        <f>SUM(F13:F13)</f>
        <v/>
      </c>
      <c r="G12" s="167" t="n"/>
      <c r="H12" s="183">
        <f>SUM(H13:H13)</f>
        <v/>
      </c>
    </row>
    <row r="13">
      <c r="A13" s="148" t="inlineStr">
        <is>
          <t>1</t>
        </is>
      </c>
      <c r="B13" s="148" t="n"/>
      <c r="C13" s="172" t="inlineStr">
        <is>
          <t>1-4-0</t>
        </is>
      </c>
      <c r="D13" s="168" t="inlineStr">
        <is>
          <t>Затраты труда рабочих (ср 4)</t>
        </is>
      </c>
      <c r="E13" s="270" t="inlineStr">
        <is>
          <t>чел.-ч</t>
        </is>
      </c>
      <c r="F13" s="270" t="n">
        <v>24.72</v>
      </c>
      <c r="G13" s="169" t="n">
        <v>9.619999999999999</v>
      </c>
      <c r="H13" s="32">
        <f>ROUND(F13*G13,2)</f>
        <v/>
      </c>
      <c r="J13" s="56">
        <f>(4*F13)/SUM(F13:F13)</f>
        <v/>
      </c>
      <c r="K13" s="170" t="n"/>
      <c r="L13" s="170" t="n"/>
    </row>
    <row r="14">
      <c r="A14" s="321" t="inlineStr">
        <is>
          <t>Затраты труда машинистов</t>
        </is>
      </c>
      <c r="B14" s="319" t="n"/>
      <c r="C14" s="319" t="n"/>
      <c r="D14" s="320" t="n"/>
      <c r="E14" s="270" t="n"/>
      <c r="F14" s="172" t="n"/>
      <c r="G14" s="169" t="n"/>
      <c r="H14" s="184">
        <f>H15</f>
        <v/>
      </c>
      <c r="L14" s="170" t="n"/>
    </row>
    <row r="15">
      <c r="A15" s="148" t="inlineStr">
        <is>
          <t>2</t>
        </is>
      </c>
      <c r="B15" s="181" t="n"/>
      <c r="C15" s="148" t="n">
        <v>2</v>
      </c>
      <c r="D15" s="254" t="inlineStr">
        <is>
          <t>Затраты труда машинистов</t>
        </is>
      </c>
      <c r="E15" s="255" t="inlineStr">
        <is>
          <t>чел.час</t>
        </is>
      </c>
      <c r="F15" s="255" t="n">
        <v>7.11</v>
      </c>
      <c r="G15" s="269" t="n"/>
      <c r="H15" s="269" t="n">
        <v>83.58</v>
      </c>
    </row>
    <row r="16" ht="15" customHeight="1" s="202">
      <c r="A16" s="244" t="inlineStr">
        <is>
          <t>Машины и механизмы</t>
        </is>
      </c>
      <c r="B16" s="315" t="n"/>
      <c r="C16" s="315" t="n"/>
      <c r="D16" s="316" t="n"/>
      <c r="E16" s="167" t="n"/>
      <c r="F16" s="167" t="n"/>
      <c r="G16" s="167" t="n"/>
      <c r="H16" s="185">
        <f>SUM(H17:H20)</f>
        <v/>
      </c>
      <c r="K16" s="170" t="n"/>
    </row>
    <row r="17" ht="25.5" customHeight="1" s="202">
      <c r="A17" s="255">
        <f>A15+1</f>
        <v/>
      </c>
      <c r="B17" s="148" t="n"/>
      <c r="C17" s="148" t="inlineStr">
        <is>
          <t>91.06.03-058</t>
        </is>
      </c>
      <c r="D17" s="254" t="inlineStr">
        <is>
          <t>Лебедки электрические тяговым усилием 156,96 кН (16 т)</t>
        </is>
      </c>
      <c r="E17" s="255" t="inlineStr">
        <is>
          <t>маш.час</t>
        </is>
      </c>
      <c r="F17" s="255" t="n">
        <v>5.1</v>
      </c>
      <c r="G17" s="257" t="n">
        <v>131.44</v>
      </c>
      <c r="H17" s="32">
        <f>ROUND(F17*G17,2)</f>
        <v/>
      </c>
      <c r="I17" s="173" t="n"/>
    </row>
    <row r="18" ht="25.5" customHeight="1" s="202">
      <c r="A18" s="255">
        <f>A17+1</f>
        <v/>
      </c>
      <c r="B18" s="148" t="n"/>
      <c r="C18" s="148" t="inlineStr">
        <is>
          <t>91.05.05-015</t>
        </is>
      </c>
      <c r="D18" s="254" t="inlineStr">
        <is>
          <t>Краны на автомобильном ходу, грузоподъемность 16 т</t>
        </is>
      </c>
      <c r="E18" s="255" t="inlineStr">
        <is>
          <t>маш.час</t>
        </is>
      </c>
      <c r="F18" s="255" t="n">
        <v>0.99</v>
      </c>
      <c r="G18" s="257" t="n">
        <v>115.4</v>
      </c>
      <c r="H18" s="32">
        <f>ROUND(F18*G18,2)</f>
        <v/>
      </c>
      <c r="I18" s="173" t="n"/>
    </row>
    <row r="19">
      <c r="A19" s="255">
        <f>A18+1</f>
        <v/>
      </c>
      <c r="B19" s="148" t="n"/>
      <c r="C19" s="148" t="inlineStr">
        <is>
          <t>91.14.02-001</t>
        </is>
      </c>
      <c r="D19" s="254" t="inlineStr">
        <is>
          <t>Автомобили бортовые, грузоподъемность до 5 т</t>
        </is>
      </c>
      <c r="E19" s="255" t="inlineStr">
        <is>
          <t>маш.час</t>
        </is>
      </c>
      <c r="F19" s="255" t="n">
        <v>0.51</v>
      </c>
      <c r="G19" s="257" t="n">
        <v>65.70999999999999</v>
      </c>
      <c r="H19" s="32">
        <f>ROUND(F19*G19,2)</f>
        <v/>
      </c>
      <c r="I19" s="173" t="n"/>
    </row>
    <row r="20">
      <c r="A20" s="255">
        <f>A19+1</f>
        <v/>
      </c>
      <c r="B20" s="148" t="n"/>
      <c r="C20" s="148" t="inlineStr">
        <is>
          <t>91.06.06-042</t>
        </is>
      </c>
      <c r="D20" s="254" t="inlineStr">
        <is>
          <t>Подъемники гидравлические, высота подъема 10 м</t>
        </is>
      </c>
      <c r="E20" s="255" t="inlineStr">
        <is>
          <t>маш.час</t>
        </is>
      </c>
      <c r="F20" s="255" t="n">
        <v>0.51</v>
      </c>
      <c r="G20" s="257" t="n">
        <v>29.6</v>
      </c>
      <c r="H20" s="32">
        <f>ROUND(F20*G20,2)</f>
        <v/>
      </c>
      <c r="I20" s="173" t="n"/>
    </row>
    <row r="21" ht="15" customHeight="1" s="202">
      <c r="A21" s="245" t="inlineStr">
        <is>
          <t>Оборудование</t>
        </is>
      </c>
      <c r="B21" s="315" t="n"/>
      <c r="C21" s="315" t="n"/>
      <c r="D21" s="316" t="n"/>
      <c r="E21" s="174" t="n"/>
      <c r="F21" s="175" t="n"/>
      <c r="G21" s="169" t="n"/>
      <c r="H21" s="186" t="n"/>
      <c r="I21" s="173" t="n"/>
    </row>
    <row r="22" ht="15" customHeight="1" s="202">
      <c r="A22" s="244" t="inlineStr">
        <is>
          <t>Материалы</t>
        </is>
      </c>
      <c r="B22" s="315" t="n"/>
      <c r="C22" s="315" t="n"/>
      <c r="D22" s="316" t="n"/>
      <c r="E22" s="180" t="n"/>
      <c r="F22" s="180" t="n"/>
      <c r="G22" s="167" t="n"/>
      <c r="H22" s="185">
        <f>SUM(H23:H41)</f>
        <v/>
      </c>
    </row>
    <row r="23" ht="26.45" customHeight="1" s="202">
      <c r="A23" s="255">
        <f>A20+1</f>
        <v/>
      </c>
      <c r="B23" s="148" t="n"/>
      <c r="C23" s="148" t="inlineStr">
        <is>
          <t>Прайс из СД ОП</t>
        </is>
      </c>
      <c r="D23" s="254" t="inlineStr">
        <is>
          <t>Изоляторы линейные подвесные стеклянные ПСВ-210А</t>
        </is>
      </c>
      <c r="E23" s="255" t="inlineStr">
        <is>
          <t>шт</t>
        </is>
      </c>
      <c r="F23" s="189" t="n">
        <v>123</v>
      </c>
      <c r="G23" s="257" t="n">
        <v>273.62</v>
      </c>
      <c r="H23" s="32">
        <f>ROUND(F23*G23,2)</f>
        <v/>
      </c>
      <c r="I23" s="173" t="n"/>
    </row>
    <row r="24">
      <c r="A24" s="255" t="n">
        <v>8</v>
      </c>
      <c r="B24" s="148" t="n"/>
      <c r="C24" s="148" t="inlineStr">
        <is>
          <t>22.2.02.04-0040</t>
        </is>
      </c>
      <c r="D24" s="254" t="inlineStr">
        <is>
          <t>Звено промежуточное регулируемое ПРР-21-1</t>
        </is>
      </c>
      <c r="E24" s="255" t="inlineStr">
        <is>
          <t>шт</t>
        </is>
      </c>
      <c r="F24" s="255" t="n">
        <v>6</v>
      </c>
      <c r="G24" s="257" t="n">
        <v>492.77</v>
      </c>
      <c r="H24" s="32">
        <f>ROUND(F24*G24,2)</f>
        <v/>
      </c>
      <c r="I24" s="173" t="n"/>
    </row>
    <row r="25" ht="25.5" customHeight="1" s="202">
      <c r="A25" s="255">
        <f>A24+1</f>
        <v/>
      </c>
      <c r="B25" s="148" t="n"/>
      <c r="C25" s="148" t="inlineStr">
        <is>
          <t>22.2.02.04-0034</t>
        </is>
      </c>
      <c r="D25" s="254" t="inlineStr">
        <is>
          <t>Звено промежуточное регулируемое двойное 2ПРР-21-2</t>
        </is>
      </c>
      <c r="E25" s="255" t="inlineStr">
        <is>
          <t>шт</t>
        </is>
      </c>
      <c r="F25" s="255" t="n">
        <v>6</v>
      </c>
      <c r="G25" s="257" t="n">
        <v>386.59</v>
      </c>
      <c r="H25" s="32">
        <f>ROUND(F25*G25,2)</f>
        <v/>
      </c>
      <c r="I25" s="173" t="n"/>
    </row>
    <row r="26">
      <c r="A26" s="255">
        <f>A25+1</f>
        <v/>
      </c>
      <c r="B26" s="148" t="n"/>
      <c r="C26" s="148" t="inlineStr">
        <is>
          <t>22.2.02.04-0020</t>
        </is>
      </c>
      <c r="D26" s="254" t="inlineStr">
        <is>
          <t>Звено промежуточное прямое двойное 2ПР-21-1</t>
        </is>
      </c>
      <c r="E26" s="255" t="inlineStr">
        <is>
          <t>шт</t>
        </is>
      </c>
      <c r="F26" s="255" t="n">
        <v>6</v>
      </c>
      <c r="G26" s="257" t="n">
        <v>314.56</v>
      </c>
      <c r="H26" s="32">
        <f>ROUND(F26*G26,2)</f>
        <v/>
      </c>
      <c r="I26" s="173" t="n"/>
    </row>
    <row r="27">
      <c r="A27" s="255">
        <f>A26+1</f>
        <v/>
      </c>
      <c r="B27" s="148" t="n"/>
      <c r="C27" s="148" t="inlineStr">
        <is>
          <t>20.1.02.22-0027</t>
        </is>
      </c>
      <c r="D27" s="254" t="inlineStr">
        <is>
          <t>Ушко: У-21-20</t>
        </is>
      </c>
      <c r="E27" s="255" t="inlineStr">
        <is>
          <t>шт</t>
        </is>
      </c>
      <c r="F27" s="255" t="n">
        <v>6</v>
      </c>
      <c r="G27" s="257" t="n">
        <v>272.53</v>
      </c>
      <c r="H27" s="32">
        <f>ROUND(F27*G27,2)</f>
        <v/>
      </c>
      <c r="I27" s="173" t="n"/>
    </row>
    <row r="28">
      <c r="A28" s="255">
        <f>A27+1</f>
        <v/>
      </c>
      <c r="B28" s="148" t="n"/>
      <c r="C28" s="148" t="inlineStr">
        <is>
          <t>22.2.02.04-0014</t>
        </is>
      </c>
      <c r="D28" s="254" t="inlineStr">
        <is>
          <t>Звено промежуточное монтажное ПТМ-21-2</t>
        </is>
      </c>
      <c r="E28" s="255" t="inlineStr">
        <is>
          <t>шт</t>
        </is>
      </c>
      <c r="F28" s="255" t="n">
        <v>6</v>
      </c>
      <c r="G28" s="257" t="n">
        <v>248.59</v>
      </c>
      <c r="H28" s="32">
        <f>ROUND(F28*G28,2)</f>
        <v/>
      </c>
      <c r="I28" s="173" t="n"/>
    </row>
    <row r="29" ht="25.5" customHeight="1" s="202">
      <c r="A29" s="255">
        <f>A28+1</f>
        <v/>
      </c>
      <c r="B29" s="148" t="n"/>
      <c r="C29" s="148" t="inlineStr">
        <is>
          <t>20.5.04.04-0013</t>
        </is>
      </c>
      <c r="D29" s="254" t="inlineStr">
        <is>
          <t>Зажим натяжной НАС-400-1 (прим.Зажим натяжной клиносочлененный ЗНК30-2)</t>
        </is>
      </c>
      <c r="E29" s="255" t="inlineStr">
        <is>
          <t>шт</t>
        </is>
      </c>
      <c r="F29" s="255" t="n">
        <v>6</v>
      </c>
      <c r="G29" s="257" t="n">
        <v>196.53</v>
      </c>
      <c r="H29" s="32">
        <f>ROUND(F29*G29,2)</f>
        <v/>
      </c>
      <c r="I29" s="173" t="n"/>
    </row>
    <row r="30">
      <c r="A30" s="255">
        <f>A29+1</f>
        <v/>
      </c>
      <c r="B30" s="148" t="n"/>
      <c r="C30" s="148" t="inlineStr">
        <is>
          <t>20.2.02.06-0001</t>
        </is>
      </c>
      <c r="D30" s="254" t="inlineStr">
        <is>
          <t>Экран защитный: ЭЗ-500-1А</t>
        </is>
      </c>
      <c r="E30" s="255" t="inlineStr">
        <is>
          <t>шт</t>
        </is>
      </c>
      <c r="F30" s="255" t="n">
        <v>1</v>
      </c>
      <c r="G30" s="257" t="n">
        <v>949.22</v>
      </c>
      <c r="H30" s="32">
        <f>ROUND(F30*G30,2)</f>
        <v/>
      </c>
      <c r="I30" s="173" t="n"/>
    </row>
    <row r="31">
      <c r="A31" s="255">
        <f>A30+1</f>
        <v/>
      </c>
      <c r="B31" s="148" t="n"/>
      <c r="C31" s="148" t="inlineStr">
        <is>
          <t>20.1.02.05-0007</t>
        </is>
      </c>
      <c r="D31" s="254" t="inlineStr">
        <is>
          <t>Коромысло 3К2-21-3 (прим.коромысло 3КЛ-21-3)</t>
        </is>
      </c>
      <c r="E31" s="255" t="inlineStr">
        <is>
          <t>шт</t>
        </is>
      </c>
      <c r="F31" s="255" t="n">
        <v>1</v>
      </c>
      <c r="G31" s="257" t="n">
        <v>625.41</v>
      </c>
      <c r="H31" s="32">
        <f>ROUND(F31*G31,2)</f>
        <v/>
      </c>
      <c r="I31" s="173" t="n"/>
    </row>
    <row r="32">
      <c r="A32" s="255">
        <f>A31+1</f>
        <v/>
      </c>
      <c r="B32" s="148" t="n"/>
      <c r="C32" s="148" t="inlineStr">
        <is>
          <t>20.2.09.10-0027</t>
        </is>
      </c>
      <c r="D32" s="254" t="inlineStr">
        <is>
          <t>Муфта защитная МПР-400-1</t>
        </is>
      </c>
      <c r="E32" s="255" t="inlineStr">
        <is>
          <t>шт</t>
        </is>
      </c>
      <c r="F32" s="255" t="n">
        <v>1</v>
      </c>
      <c r="G32" s="257" t="n">
        <v>576.48</v>
      </c>
      <c r="H32" s="32">
        <f>ROUND(F32*G32,2)</f>
        <v/>
      </c>
      <c r="I32" s="173" t="n"/>
    </row>
    <row r="33">
      <c r="A33" s="255">
        <f>A32+1</f>
        <v/>
      </c>
      <c r="B33" s="148" t="n"/>
      <c r="C33" s="148" t="inlineStr">
        <is>
          <t>20.1.02.21-0082</t>
        </is>
      </c>
      <c r="D33" s="254" t="inlineStr">
        <is>
          <t>Узел крепления экрана УКЭ-1Б</t>
        </is>
      </c>
      <c r="E33" s="255" t="inlineStr">
        <is>
          <t>шт</t>
        </is>
      </c>
      <c r="F33" s="255" t="n">
        <v>1</v>
      </c>
      <c r="G33" s="257" t="n">
        <v>474.88</v>
      </c>
      <c r="H33" s="32">
        <f>ROUND(F33*G33,2)</f>
        <v/>
      </c>
      <c r="I33" s="173" t="n"/>
    </row>
    <row r="34">
      <c r="A34" s="255">
        <f>A33+1</f>
        <v/>
      </c>
      <c r="B34" s="148" t="n"/>
      <c r="C34" s="148" t="inlineStr">
        <is>
          <t>20.1.02.14-1008</t>
        </is>
      </c>
      <c r="D34" s="254" t="inlineStr">
        <is>
          <t>Серьга СР-21-20</t>
        </is>
      </c>
      <c r="E34" s="255" t="inlineStr">
        <is>
          <t>шт</t>
        </is>
      </c>
      <c r="F34" s="255" t="n">
        <v>6</v>
      </c>
      <c r="G34" s="257" t="n">
        <v>68.73</v>
      </c>
      <c r="H34" s="32">
        <f>ROUND(F34*G34,2)</f>
        <v/>
      </c>
      <c r="I34" s="173" t="n"/>
    </row>
    <row r="35">
      <c r="A35" s="255">
        <f>A34+1</f>
        <v/>
      </c>
      <c r="B35" s="148" t="n"/>
      <c r="C35" s="148" t="inlineStr">
        <is>
          <t>22.2.02.04-0023</t>
        </is>
      </c>
      <c r="D35" s="254" t="inlineStr">
        <is>
          <t>Звено промежуточное прямое ПР-16-6</t>
        </is>
      </c>
      <c r="E35" s="255" t="inlineStr">
        <is>
          <t>шт</t>
        </is>
      </c>
      <c r="F35" s="255" t="n">
        <v>6</v>
      </c>
      <c r="G35" s="257" t="n">
        <v>60.08</v>
      </c>
      <c r="H35" s="32">
        <f>ROUND(F35*G35,2)</f>
        <v/>
      </c>
      <c r="I35" s="173" t="n"/>
    </row>
    <row r="36">
      <c r="A36" s="255">
        <f>A35+1</f>
        <v/>
      </c>
      <c r="B36" s="148" t="n"/>
      <c r="C36" s="148" t="inlineStr">
        <is>
          <t>01.7.15.10-0035</t>
        </is>
      </c>
      <c r="D36" s="254" t="inlineStr">
        <is>
          <t>Скобы СК-21-1А</t>
        </is>
      </c>
      <c r="E36" s="255" t="inlineStr">
        <is>
          <t>шт</t>
        </is>
      </c>
      <c r="F36" s="255" t="n">
        <v>3</v>
      </c>
      <c r="G36" s="257" t="n">
        <v>116.92</v>
      </c>
      <c r="H36" s="32">
        <f>ROUND(F36*G36,2)</f>
        <v/>
      </c>
      <c r="I36" s="173" t="n"/>
    </row>
    <row r="37">
      <c r="A37" s="255">
        <f>A36+1</f>
        <v/>
      </c>
      <c r="B37" s="148" t="n"/>
      <c r="C37" s="148" t="inlineStr">
        <is>
          <t>20.1.02.21-0034</t>
        </is>
      </c>
      <c r="D37" s="254" t="inlineStr">
        <is>
          <t>Узел крепления КГ-21-3</t>
        </is>
      </c>
      <c r="E37" s="255" t="inlineStr">
        <is>
          <t>шт</t>
        </is>
      </c>
      <c r="F37" s="255" t="n">
        <v>3</v>
      </c>
      <c r="G37" s="257" t="n">
        <v>107.4</v>
      </c>
      <c r="H37" s="32">
        <f>ROUND(F37*G37,2)</f>
        <v/>
      </c>
      <c r="I37" s="173" t="n"/>
    </row>
    <row r="38">
      <c r="A38" s="255">
        <f>A37+1</f>
        <v/>
      </c>
      <c r="B38" s="148" t="n"/>
      <c r="C38" s="148" t="inlineStr">
        <is>
          <t>22.2.02.04-0004</t>
        </is>
      </c>
      <c r="D38" s="254" t="inlineStr">
        <is>
          <t>Звено промежуточное вывернутое ПРВ-21-1</t>
        </is>
      </c>
      <c r="E38" s="255" t="inlineStr">
        <is>
          <t>шт</t>
        </is>
      </c>
      <c r="F38" s="255" t="n">
        <v>3</v>
      </c>
      <c r="G38" s="257" t="n">
        <v>83.93000000000001</v>
      </c>
      <c r="H38" s="32">
        <f>ROUND(F38*G38,2)</f>
        <v/>
      </c>
      <c r="I38" s="173" t="n"/>
    </row>
    <row r="39">
      <c r="A39" s="255">
        <f>A38+1</f>
        <v/>
      </c>
      <c r="B39" s="148" t="n"/>
      <c r="C39" s="148" t="inlineStr">
        <is>
          <t>22.2.02.04-0054</t>
        </is>
      </c>
      <c r="D39" s="254" t="inlineStr">
        <is>
          <t>Звено промежуточное трехлапчатое ПРТ-21/16-2</t>
        </is>
      </c>
      <c r="E39" s="255" t="inlineStr">
        <is>
          <t>шт</t>
        </is>
      </c>
      <c r="F39" s="255" t="n">
        <v>3</v>
      </c>
      <c r="G39" s="257" t="n">
        <v>80.09999999999999</v>
      </c>
      <c r="H39" s="32">
        <f>ROUND(F39*G39,2)</f>
        <v/>
      </c>
      <c r="I39" s="173" t="n"/>
    </row>
    <row r="40">
      <c r="A40" s="255">
        <f>A39+1</f>
        <v/>
      </c>
      <c r="B40" s="148" t="n"/>
      <c r="C40" s="148" t="inlineStr">
        <is>
          <t>22.2.02.04-0049</t>
        </is>
      </c>
      <c r="D40" s="254" t="inlineStr">
        <is>
          <t>Звено промежуточное трехлапчатое ПРТ-16-1</t>
        </is>
      </c>
      <c r="E40" s="255" t="inlineStr">
        <is>
          <t>шт</t>
        </is>
      </c>
      <c r="F40" s="255" t="n">
        <v>1</v>
      </c>
      <c r="G40" s="257" t="n">
        <v>80.59999999999999</v>
      </c>
      <c r="H40" s="32">
        <f>ROUND(F40*G40,2)</f>
        <v/>
      </c>
      <c r="I40" s="173" t="n"/>
    </row>
    <row r="41" ht="25.5" customHeight="1" s="202">
      <c r="A41" s="255">
        <f>A40+1</f>
        <v/>
      </c>
      <c r="B41" s="148" t="n"/>
      <c r="C41" s="148" t="inlineStr">
        <is>
          <t>999-9950</t>
        </is>
      </c>
      <c r="D41" s="254" t="inlineStr">
        <is>
          <t>Вспомогательные ненормируемые ресурсы (2% от Оплаты труда рабочих)</t>
        </is>
      </c>
      <c r="E41" s="255" t="inlineStr">
        <is>
          <t>руб</t>
        </is>
      </c>
      <c r="F41" s="255" t="n">
        <v>4.77</v>
      </c>
      <c r="G41" s="257" t="n">
        <v>1</v>
      </c>
      <c r="H41" s="32">
        <f>ROUND(F41*G41,2)</f>
        <v/>
      </c>
      <c r="I41" s="173" t="n"/>
    </row>
    <row r="42">
      <c r="C42" s="163" t="n"/>
      <c r="D42" s="161" t="n"/>
      <c r="E42" s="162" t="n"/>
      <c r="F42" s="162" t="n"/>
      <c r="G42" s="164" t="n"/>
      <c r="H42" s="179" t="n"/>
    </row>
    <row r="43" ht="25.5" customHeight="1" s="202">
      <c r="B43" s="176" t="inlineStr">
        <is>
          <t xml:space="preserve">Примечание: </t>
        </is>
      </c>
      <c r="C43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4">
      <c r="I44" s="177" t="n"/>
    </row>
    <row r="47" s="202">
      <c r="B47" s="203" t="inlineStr">
        <is>
          <t>Составил ______________________        А.Р. Маркова</t>
        </is>
      </c>
      <c r="C47" s="212" t="n"/>
    </row>
    <row r="48" s="202">
      <c r="B48" s="213" t="inlineStr">
        <is>
          <t xml:space="preserve">                         (подпись, инициалы, фамилия)</t>
        </is>
      </c>
      <c r="C48" s="212" t="n"/>
    </row>
    <row r="49" s="202">
      <c r="B49" s="203" t="n"/>
      <c r="C49" s="212" t="n"/>
    </row>
    <row r="50" s="202">
      <c r="B50" s="203" t="inlineStr">
        <is>
          <t>Проверил ______________________        А.В. Костянецкая</t>
        </is>
      </c>
      <c r="C50" s="212" t="n"/>
    </row>
    <row r="51" s="202">
      <c r="B51" s="213" t="inlineStr">
        <is>
          <t xml:space="preserve">                        (подпись, инициалы, фамилия)</t>
        </is>
      </c>
      <c r="C51" s="212" t="n"/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A3:I3"/>
    <mergeCell ref="A16:D16"/>
    <mergeCell ref="C43:H43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A43" sqref="A43:XFD47"/>
    </sheetView>
  </sheetViews>
  <sheetFormatPr baseColWidth="8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9.140625" customWidth="1" style="202" min="6" max="6"/>
    <col width="12.85546875" customWidth="1" style="202" min="7" max="7"/>
    <col width="9.140625" customWidth="1" style="202" min="8" max="11"/>
    <col width="13.5703125" customWidth="1" style="202" min="12" max="12"/>
    <col width="9.140625" customWidth="1" style="202" min="13" max="13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65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24" t="inlineStr">
        <is>
          <t>Ресурсная модель</t>
        </is>
      </c>
    </row>
    <row r="6">
      <c r="B6" s="139" t="n"/>
      <c r="C6" s="203" t="n"/>
      <c r="D6" s="203" t="n"/>
      <c r="E6" s="203" t="n"/>
    </row>
    <row r="7" ht="25.5" customHeight="1" s="202">
      <c r="B7" s="252" t="inlineStr">
        <is>
          <t>Наименование разрабатываемого показателя УНЦ - Гирлянды изоляторов ВЛ напряжение 500 кВ</t>
        </is>
      </c>
    </row>
    <row r="8">
      <c r="B8" s="253" t="inlineStr">
        <is>
          <t>Единица измерения  — 1 км ВЛ</t>
        </is>
      </c>
    </row>
    <row r="9">
      <c r="B9" s="139" t="n"/>
      <c r="C9" s="203" t="n"/>
      <c r="D9" s="203" t="n"/>
      <c r="E9" s="203" t="n"/>
    </row>
    <row r="10" ht="51" customHeight="1" s="202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ОБ'!J55</f>
        <v/>
      </c>
      <c r="D17" s="27">
        <f>C17/$C$24</f>
        <v/>
      </c>
      <c r="E17" s="27">
        <f>C17/$C$40</f>
        <v/>
      </c>
      <c r="G17" s="140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 s="202">
      <c r="B25" s="25" t="inlineStr">
        <is>
          <t>ВСЕГО стоимость оборудования, в том числе</t>
        </is>
      </c>
      <c r="C25" s="201">
        <f>'Прил.5 Расчет СМР и ОБ'!J31</f>
        <v/>
      </c>
      <c r="D25" s="27" t="n"/>
      <c r="E25" s="27">
        <f>C25/$C$40</f>
        <v/>
      </c>
    </row>
    <row r="26" ht="25.5" customHeight="1" s="202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202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2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202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20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20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20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4" t="n"/>
      <c r="L36" s="14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4" t="n"/>
      <c r="L37" s="141" t="n"/>
    </row>
    <row r="38" ht="38.25" customHeight="1" s="202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 s="202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ОБ'!E62</f>
        <v/>
      </c>
      <c r="D41" s="25" t="n"/>
      <c r="E41" s="25" t="n"/>
    </row>
    <row r="42">
      <c r="B42" s="142" t="n"/>
      <c r="C42" s="203" t="n"/>
      <c r="D42" s="203" t="n"/>
      <c r="E42" s="203" t="n"/>
    </row>
    <row r="43" s="202">
      <c r="B43" s="203" t="inlineStr">
        <is>
          <t>Составил ______________________        А.Р. Маркова</t>
        </is>
      </c>
      <c r="C43" s="212" t="n"/>
    </row>
    <row r="44" s="202">
      <c r="B44" s="213" t="inlineStr">
        <is>
          <t xml:space="preserve">                         (подпись, инициалы, фамилия)</t>
        </is>
      </c>
      <c r="C44" s="212" t="n"/>
    </row>
    <row r="45" s="202">
      <c r="B45" s="203" t="n"/>
      <c r="C45" s="212" t="n"/>
    </row>
    <row r="46" s="202">
      <c r="B46" s="203" t="inlineStr">
        <is>
          <t>Проверил ______________________        А.В. Костянецкая</t>
        </is>
      </c>
      <c r="C46" s="212" t="n"/>
    </row>
    <row r="47" s="202">
      <c r="B47" s="213" t="inlineStr">
        <is>
          <t xml:space="preserve">                        (подпись, инициалы, фамилия)</t>
        </is>
      </c>
      <c r="C47" s="212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9" workbookViewId="0">
      <selection activeCell="D67" sqref="D67"/>
    </sheetView>
  </sheetViews>
  <sheetFormatPr baseColWidth="8" defaultColWidth="9.140625" defaultRowHeight="15" outlineLevelRow="1"/>
  <cols>
    <col width="5.7109375" customWidth="1" style="212" min="1" max="1"/>
    <col width="22.5703125" customWidth="1" style="212" min="2" max="2"/>
    <col width="39.140625" customWidth="1" style="212" min="3" max="3"/>
    <col width="12.7109375" customWidth="1" style="212" min="4" max="5"/>
    <col width="14.5703125" customWidth="1" style="212" min="6" max="6"/>
    <col width="13.42578125" customWidth="1" style="212" min="7" max="7"/>
    <col width="12.7109375" customWidth="1" style="212" min="8" max="8"/>
    <col width="13.85546875" customWidth="1" style="212" min="9" max="9"/>
    <col width="17.5703125" customWidth="1" style="212" min="10" max="10"/>
    <col width="10.85546875" customWidth="1" style="212" min="11" max="11"/>
    <col width="9.140625" customWidth="1" style="212" min="12" max="12"/>
  </cols>
  <sheetData>
    <row r="1">
      <c r="M1" s="212" t="n"/>
      <c r="N1" s="212" t="n"/>
    </row>
    <row r="2" ht="15.75" customHeight="1" s="202">
      <c r="H2" s="260" t="inlineStr">
        <is>
          <t>Приложение №5</t>
        </is>
      </c>
      <c r="M2" s="212" t="n"/>
      <c r="N2" s="212" t="n"/>
    </row>
    <row r="3">
      <c r="M3" s="212" t="n"/>
      <c r="N3" s="212" t="n"/>
    </row>
    <row r="4" ht="12.75" customFormat="1" customHeight="1" s="203">
      <c r="A4" s="224" t="inlineStr">
        <is>
          <t>Расчет стоимости СМР и оборудования</t>
        </is>
      </c>
    </row>
    <row r="5" ht="12.75" customFormat="1" customHeight="1" s="203">
      <c r="A5" s="224" t="n"/>
      <c r="B5" s="224" t="n"/>
      <c r="C5" s="272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203">
      <c r="A6" s="227" t="inlineStr">
        <is>
          <t>Наименование разрабатываемого показателя УНЦ</t>
        </is>
      </c>
      <c r="D6" s="227" t="inlineStr">
        <is>
          <t>Гирлянды изоляторов ВЛ напряжение 500 кВ</t>
        </is>
      </c>
    </row>
    <row r="7" ht="12.75" customFormat="1" customHeight="1" s="203">
      <c r="A7" s="227" t="inlineStr">
        <is>
          <t>Единица измерения  — 1 км ВЛ</t>
        </is>
      </c>
      <c r="I7" s="252" t="n"/>
      <c r="J7" s="252" t="n"/>
    </row>
    <row r="8" ht="13.5" customFormat="1" customHeight="1" s="203">
      <c r="A8" s="227" t="n"/>
    </row>
    <row r="9" ht="13.15" customFormat="1" customHeight="1" s="203"/>
    <row r="10" ht="27" customHeight="1" s="202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16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16" t="n"/>
      <c r="M10" s="212" t="n"/>
      <c r="N10" s="212" t="n"/>
    </row>
    <row r="11" ht="28.5" customHeight="1" s="202">
      <c r="A11" s="318" t="n"/>
      <c r="B11" s="318" t="n"/>
      <c r="C11" s="318" t="n"/>
      <c r="D11" s="318" t="n"/>
      <c r="E11" s="318" t="n"/>
      <c r="F11" s="255" t="inlineStr">
        <is>
          <t>на ед. изм.</t>
        </is>
      </c>
      <c r="G11" s="255" t="inlineStr">
        <is>
          <t>общая</t>
        </is>
      </c>
      <c r="H11" s="318" t="n"/>
      <c r="I11" s="255" t="inlineStr">
        <is>
          <t>на ед. изм.</t>
        </is>
      </c>
      <c r="J11" s="255" t="inlineStr">
        <is>
          <t>общая</t>
        </is>
      </c>
      <c r="M11" s="212" t="n"/>
      <c r="N11" s="212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63" t="n">
        <v>9</v>
      </c>
      <c r="J12" s="263" t="n">
        <v>10</v>
      </c>
      <c r="M12" s="212" t="n"/>
      <c r="N12" s="212" t="n"/>
    </row>
    <row r="13">
      <c r="A13" s="255" t="n"/>
      <c r="B13" s="259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47" t="n"/>
      <c r="J13" s="147" t="n"/>
    </row>
    <row r="14" ht="25.5" customHeight="1" s="202">
      <c r="A14" s="255" t="n">
        <v>1</v>
      </c>
      <c r="B14" s="148" t="inlineStr">
        <is>
          <t>1-4-0</t>
        </is>
      </c>
      <c r="C14" s="254" t="inlineStr">
        <is>
          <t>Затраты труда рабочих-строителей среднего разряда (4,0)</t>
        </is>
      </c>
      <c r="D14" s="255" t="inlineStr">
        <is>
          <t>чел.-ч.</t>
        </is>
      </c>
      <c r="E14" s="188">
        <f>G14/F14</f>
        <v/>
      </c>
      <c r="F14" s="32" t="n">
        <v>9.619999999999999</v>
      </c>
      <c r="G14" s="32">
        <f>SUM(Прил.3!H13:H13)</f>
        <v/>
      </c>
      <c r="H14" s="151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2">
      <c r="A15" s="255" t="n"/>
      <c r="B15" s="255" t="n"/>
      <c r="C15" s="259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188">
        <f>SUM(E14:E14)</f>
        <v/>
      </c>
      <c r="F15" s="32" t="n"/>
      <c r="G15" s="32">
        <f>SUM(G14:G14)</f>
        <v/>
      </c>
      <c r="H15" s="258" t="n">
        <v>1</v>
      </c>
      <c r="I15" s="147" t="n"/>
      <c r="J15" s="32">
        <f>SUM(J14:J14)</f>
        <v/>
      </c>
    </row>
    <row r="16" ht="14.25" customFormat="1" customHeight="1" s="212">
      <c r="A16" s="255" t="n"/>
      <c r="B16" s="254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47" t="n"/>
      <c r="J16" s="147" t="n"/>
    </row>
    <row r="17" ht="14.25" customFormat="1" customHeight="1" s="212">
      <c r="A17" s="255" t="n">
        <v>2</v>
      </c>
      <c r="B17" s="255" t="n">
        <v>2</v>
      </c>
      <c r="C17" s="254" t="inlineStr">
        <is>
          <t>Затраты труда машинистов</t>
        </is>
      </c>
      <c r="D17" s="255" t="inlineStr">
        <is>
          <t>чел.-ч.</t>
        </is>
      </c>
      <c r="E17" s="149">
        <f>Прил.3!F15</f>
        <v/>
      </c>
      <c r="F17" s="32">
        <f>G17/E17</f>
        <v/>
      </c>
      <c r="G17" s="32">
        <f>Прил.3!H15</f>
        <v/>
      </c>
      <c r="H17" s="258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12">
      <c r="A18" s="255" t="n"/>
      <c r="B18" s="259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47" t="n"/>
      <c r="J18" s="147" t="n"/>
    </row>
    <row r="19" ht="14.25" customFormat="1" customHeight="1" s="212">
      <c r="A19" s="255" t="n"/>
      <c r="B19" s="254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47" t="n"/>
      <c r="J19" s="147" t="n"/>
    </row>
    <row r="20" ht="25.5" customFormat="1" customHeight="1" s="212">
      <c r="A20" s="255" t="n">
        <v>3</v>
      </c>
      <c r="B20" s="148" t="inlineStr">
        <is>
          <t>91.06.03-058</t>
        </is>
      </c>
      <c r="C20" s="254" t="inlineStr">
        <is>
          <t>Лебедки электрические тяговым усилием 156,96 кН (16 т)</t>
        </is>
      </c>
      <c r="D20" s="255" t="inlineStr">
        <is>
          <t>маш.час</t>
        </is>
      </c>
      <c r="E20" s="149" t="n">
        <v>5.1</v>
      </c>
      <c r="F20" s="257" t="n">
        <v>131.44</v>
      </c>
      <c r="G20" s="32">
        <f>ROUND(E20*F20,2)</f>
        <v/>
      </c>
      <c r="H20" s="151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12">
      <c r="A21" s="255" t="n">
        <v>4</v>
      </c>
      <c r="B21" s="148" t="inlineStr">
        <is>
          <t>91.05.05-015</t>
        </is>
      </c>
      <c r="C21" s="254" t="inlineStr">
        <is>
          <t>Краны на автомобильном ходу, грузоподъемность 16 т</t>
        </is>
      </c>
      <c r="D21" s="255" t="inlineStr">
        <is>
          <t>маш.час</t>
        </is>
      </c>
      <c r="E21" s="149" t="n">
        <v>0.99</v>
      </c>
      <c r="F21" s="257" t="n">
        <v>115.4</v>
      </c>
      <c r="G21" s="32">
        <f>ROUND(E21*F21,2)</f>
        <v/>
      </c>
      <c r="H21" s="151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12">
      <c r="A22" s="255" t="n"/>
      <c r="B22" s="255" t="n"/>
      <c r="C22" s="254" t="inlineStr">
        <is>
          <t>Итого основные машины и механизмы</t>
        </is>
      </c>
      <c r="D22" s="255" t="n"/>
      <c r="E22" s="149" t="n"/>
      <c r="F22" s="32" t="n"/>
      <c r="G22" s="32">
        <f>SUM(G20:G21)</f>
        <v/>
      </c>
      <c r="H22" s="258">
        <f>G22/G26</f>
        <v/>
      </c>
      <c r="I22" s="150" t="n"/>
      <c r="J22" s="32">
        <f>SUM(J20:J21)</f>
        <v/>
      </c>
    </row>
    <row r="23" outlineLevel="1" ht="25.5" customFormat="1" customHeight="1" s="212">
      <c r="A23" s="255" t="n">
        <v>5</v>
      </c>
      <c r="B23" s="148" t="inlineStr">
        <is>
          <t>91.14.02-001</t>
        </is>
      </c>
      <c r="C23" s="254" t="inlineStr">
        <is>
          <t>Автомобили бортовые, грузоподъемность до 5 т</t>
        </is>
      </c>
      <c r="D23" s="255" t="inlineStr">
        <is>
          <t>маш.час</t>
        </is>
      </c>
      <c r="E23" s="149" t="n">
        <v>0.51</v>
      </c>
      <c r="F23" s="257" t="n">
        <v>65.70999999999999</v>
      </c>
      <c r="G23" s="32">
        <f>ROUND(E23*F23,2)</f>
        <v/>
      </c>
      <c r="H23" s="151">
        <f>G23/$G$26</f>
        <v/>
      </c>
      <c r="I23" s="269">
        <f>ROUND(F23*Прил.10!$D$12,2)</f>
        <v/>
      </c>
      <c r="J23" s="32">
        <f>ROUND(I23*E23,2)</f>
        <v/>
      </c>
    </row>
    <row r="24" outlineLevel="1" ht="25.5" customFormat="1" customHeight="1" s="212">
      <c r="A24" s="255" t="n">
        <v>6</v>
      </c>
      <c r="B24" s="148" t="inlineStr">
        <is>
          <t>91.06.06-042</t>
        </is>
      </c>
      <c r="C24" s="254" t="inlineStr">
        <is>
          <t>Подъемники гидравлические, высота подъема 10 м</t>
        </is>
      </c>
      <c r="D24" s="255" t="inlineStr">
        <is>
          <t>маш.час</t>
        </is>
      </c>
      <c r="E24" s="149" t="n">
        <v>0.51</v>
      </c>
      <c r="F24" s="257" t="n">
        <v>29.6</v>
      </c>
      <c r="G24" s="32">
        <f>ROUND(E24*F24,2)</f>
        <v/>
      </c>
      <c r="H24" s="151">
        <f>G24/$G$26</f>
        <v/>
      </c>
      <c r="I24" s="269">
        <f>ROUND(F24*Прил.10!$D$12,2)</f>
        <v/>
      </c>
      <c r="J24" s="32">
        <f>ROUND(I24*E24,2)</f>
        <v/>
      </c>
    </row>
    <row r="25" ht="14.25" customFormat="1" customHeight="1" s="212">
      <c r="A25" s="255" t="n"/>
      <c r="B25" s="255" t="n"/>
      <c r="C25" s="254" t="inlineStr">
        <is>
          <t>Итого прочие машины и механизмы</t>
        </is>
      </c>
      <c r="D25" s="255" t="n"/>
      <c r="E25" s="256" t="n"/>
      <c r="F25" s="32" t="n"/>
      <c r="G25" s="150">
        <f>SUM(G23:G24)</f>
        <v/>
      </c>
      <c r="H25" s="151">
        <f>G25/G26</f>
        <v/>
      </c>
      <c r="I25" s="32" t="n"/>
      <c r="J25" s="32">
        <f>SUM(J23:J24)</f>
        <v/>
      </c>
    </row>
    <row r="26" ht="25.5" customFormat="1" customHeight="1" s="212">
      <c r="A26" s="255" t="n"/>
      <c r="B26" s="255" t="n"/>
      <c r="C26" s="259" t="inlineStr">
        <is>
          <t>Итого по разделу «Машины и механизмы»</t>
        </is>
      </c>
      <c r="D26" s="255" t="n"/>
      <c r="E26" s="256" t="n"/>
      <c r="F26" s="32" t="n"/>
      <c r="G26" s="32">
        <f>G25+G22</f>
        <v/>
      </c>
      <c r="H26" s="152" t="n">
        <v>1</v>
      </c>
      <c r="I26" s="153" t="n"/>
      <c r="J26" s="154">
        <f>J25+J22</f>
        <v/>
      </c>
    </row>
    <row r="27" ht="30" customHeight="1" s="202">
      <c r="A27" s="255" t="n"/>
      <c r="B27" s="259" t="inlineStr">
        <is>
          <t xml:space="preserve">Оборудование </t>
        </is>
      </c>
      <c r="C27" s="315" t="n"/>
      <c r="D27" s="315" t="n"/>
      <c r="E27" s="315" t="n"/>
      <c r="F27" s="315" t="n"/>
      <c r="G27" s="315" t="n"/>
      <c r="H27" s="315" t="n"/>
      <c r="I27" s="315" t="n"/>
      <c r="J27" s="316" t="n"/>
    </row>
    <row r="28">
      <c r="A28" s="255" t="n"/>
      <c r="B28" s="254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47" t="n"/>
      <c r="J28" s="147" t="n"/>
    </row>
    <row r="29">
      <c r="A29" s="255" t="n"/>
      <c r="B29" s="255" t="n"/>
      <c r="C29" s="254" t="inlineStr">
        <is>
          <t>Итого основное оборудование</t>
        </is>
      </c>
      <c r="D29" s="255" t="n"/>
      <c r="E29" s="149" t="n"/>
      <c r="F29" s="257" t="n"/>
      <c r="G29" s="32" t="n">
        <v>0</v>
      </c>
      <c r="H29" s="258" t="n">
        <v>0</v>
      </c>
      <c r="I29" s="150" t="n"/>
      <c r="J29" s="32" t="n">
        <v>0</v>
      </c>
    </row>
    <row r="30">
      <c r="A30" s="255" t="n"/>
      <c r="B30" s="255" t="n"/>
      <c r="C30" s="254" t="inlineStr">
        <is>
          <t>Итого прочее оборудование</t>
        </is>
      </c>
      <c r="D30" s="255" t="n"/>
      <c r="E30" s="149" t="n"/>
      <c r="F30" s="257" t="n"/>
      <c r="G30" s="32" t="n">
        <v>0</v>
      </c>
      <c r="H30" s="258" t="n">
        <v>0</v>
      </c>
      <c r="I30" s="150" t="n"/>
      <c r="J30" s="32" t="n">
        <v>0</v>
      </c>
    </row>
    <row r="31">
      <c r="A31" s="255" t="n"/>
      <c r="B31" s="255" t="n"/>
      <c r="C31" s="259" t="inlineStr">
        <is>
          <t>Итого по разделу «Оборудование»</t>
        </is>
      </c>
      <c r="D31" s="255" t="n"/>
      <c r="E31" s="256" t="n"/>
      <c r="F31" s="257" t="n"/>
      <c r="G31" s="32">
        <f>G29+G30</f>
        <v/>
      </c>
      <c r="H31" s="258" t="n">
        <v>0</v>
      </c>
      <c r="I31" s="150" t="n"/>
      <c r="J31" s="32">
        <f>J30+J29</f>
        <v/>
      </c>
    </row>
    <row r="32" ht="25.5" customHeight="1" s="202">
      <c r="A32" s="255" t="n"/>
      <c r="B32" s="255" t="n"/>
      <c r="C32" s="254" t="inlineStr">
        <is>
          <t>в том числе технологическое оборудование</t>
        </is>
      </c>
      <c r="D32" s="255" t="n"/>
      <c r="E32" s="200" t="n"/>
      <c r="F32" s="257" t="n"/>
      <c r="G32" s="32">
        <f>G31</f>
        <v/>
      </c>
      <c r="H32" s="258" t="n"/>
      <c r="I32" s="150" t="n"/>
      <c r="J32" s="32">
        <f>J31</f>
        <v/>
      </c>
    </row>
    <row r="33" ht="41.25" customFormat="1" customHeight="1" s="212">
      <c r="A33" s="255" t="n"/>
      <c r="B33" s="259" t="inlineStr">
        <is>
          <t xml:space="preserve">Материалы  </t>
        </is>
      </c>
      <c r="C33" s="315" t="n"/>
      <c r="D33" s="315" t="n"/>
      <c r="E33" s="315" t="n"/>
      <c r="F33" s="315" t="n"/>
      <c r="G33" s="315" t="n"/>
      <c r="H33" s="315" t="n"/>
      <c r="I33" s="315" t="n"/>
      <c r="J33" s="316" t="n"/>
    </row>
    <row r="34" ht="14.25" customFormat="1" customHeight="1" s="212">
      <c r="A34" s="255" t="n"/>
      <c r="B34" s="254" t="inlineStr">
        <is>
          <t>Основные материалы</t>
        </is>
      </c>
      <c r="C34" s="315" t="n"/>
      <c r="D34" s="315" t="n"/>
      <c r="E34" s="315" t="n"/>
      <c r="F34" s="315" t="n"/>
      <c r="G34" s="315" t="n"/>
      <c r="H34" s="316" t="n"/>
      <c r="I34" s="147" t="n"/>
      <c r="J34" s="147" t="n"/>
    </row>
    <row r="35" ht="25.5" customFormat="1" customHeight="1" s="212">
      <c r="A35" s="255" t="n">
        <v>7</v>
      </c>
      <c r="B35" s="148" t="inlineStr">
        <is>
          <t>БЦ.108_1.22</t>
        </is>
      </c>
      <c r="C35" s="254" t="inlineStr">
        <is>
          <t>Изоляторы линейные подвесные стеклянные ПСВ-210А</t>
        </is>
      </c>
      <c r="D35" s="255" t="inlineStr">
        <is>
          <t>шт</t>
        </is>
      </c>
      <c r="E35" s="149" t="n">
        <v>123</v>
      </c>
      <c r="F35" s="257">
        <f>ROUND(I35/Прил.10!$D$13,2)</f>
        <v/>
      </c>
      <c r="G35" s="32">
        <f>ROUND(E35*F35,2)</f>
        <v/>
      </c>
      <c r="H35" s="151">
        <f>G35/$G$56</f>
        <v/>
      </c>
      <c r="I35" s="32" t="n">
        <v>3366.32</v>
      </c>
      <c r="J35" s="32">
        <f>ROUND(I35*E35,2)</f>
        <v/>
      </c>
    </row>
    <row r="36" ht="25.5" customFormat="1" customHeight="1" s="212">
      <c r="A36" s="255" t="n">
        <v>9</v>
      </c>
      <c r="B36" s="148" t="inlineStr">
        <is>
          <t>22.2.02.04-0040</t>
        </is>
      </c>
      <c r="C36" s="113" t="inlineStr">
        <is>
          <t>Звено промежуточное регулируемое ПРР-21-1</t>
        </is>
      </c>
      <c r="D36" s="263" t="inlineStr">
        <is>
          <t>шт</t>
        </is>
      </c>
      <c r="E36" s="191" t="n">
        <v>6</v>
      </c>
      <c r="F36" s="192" t="n">
        <v>492.77</v>
      </c>
      <c r="G36" s="193">
        <f>ROUND(E36*F36,2)</f>
        <v/>
      </c>
      <c r="H36" s="194">
        <f>G36/$G$56</f>
        <v/>
      </c>
      <c r="I36" s="193">
        <f>ROUND(F36*Прил.10!$D$13,2)</f>
        <v/>
      </c>
      <c r="J36" s="193">
        <f>ROUND(I36*E36,2)</f>
        <v/>
      </c>
    </row>
    <row r="37" ht="25.5" customFormat="1" customHeight="1" s="212">
      <c r="A37" s="255" t="n">
        <v>10</v>
      </c>
      <c r="B37" s="190" t="inlineStr">
        <is>
          <t>22.2.02.04-0034</t>
        </is>
      </c>
      <c r="C37" s="254" t="inlineStr">
        <is>
          <t>Звено промежуточное регулируемое двойное 2ПРР-21-2</t>
        </is>
      </c>
      <c r="D37" s="255" t="inlineStr">
        <is>
          <t>шт</t>
        </is>
      </c>
      <c r="E37" s="149" t="n">
        <v>6</v>
      </c>
      <c r="F37" s="257" t="n">
        <v>386.59</v>
      </c>
      <c r="G37" s="32">
        <f>ROUND(E37*F37,2)</f>
        <v/>
      </c>
      <c r="H37" s="151">
        <f>G37/$G$56</f>
        <v/>
      </c>
      <c r="I37" s="32">
        <f>ROUND(F37*Прил.10!$D$13,2)</f>
        <v/>
      </c>
      <c r="J37" s="32">
        <f>ROUND(I37*E37,2)</f>
        <v/>
      </c>
    </row>
    <row r="38" ht="22.5" customFormat="1" customHeight="1" s="212">
      <c r="A38" s="255" t="n"/>
      <c r="B38" s="255" t="n"/>
      <c r="C38" s="195" t="inlineStr">
        <is>
          <t>Итого основные материалы</t>
        </is>
      </c>
      <c r="D38" s="264" t="n"/>
      <c r="E38" s="197" t="n"/>
      <c r="F38" s="198" t="n"/>
      <c r="G38" s="154">
        <f>SUM(G35:G37)</f>
        <v/>
      </c>
      <c r="H38" s="199">
        <f>G38/$G$56</f>
        <v/>
      </c>
      <c r="I38" s="153" t="n"/>
      <c r="J38" s="154">
        <f>SUM(J35:J37)</f>
        <v/>
      </c>
    </row>
    <row r="39" outlineLevel="1" ht="25.5" customFormat="1" customHeight="1" s="212">
      <c r="A39" s="255" t="n">
        <v>11</v>
      </c>
      <c r="B39" s="148" t="inlineStr">
        <is>
          <t>22.2.02.04-0020</t>
        </is>
      </c>
      <c r="C39" s="254" t="inlineStr">
        <is>
          <t>Звено промежуточное прямое двойное 2ПР-21-1</t>
        </is>
      </c>
      <c r="D39" s="255" t="inlineStr">
        <is>
          <t>шт</t>
        </is>
      </c>
      <c r="E39" s="149" t="n">
        <v>6</v>
      </c>
      <c r="F39" s="257" t="n">
        <v>314.56</v>
      </c>
      <c r="G39" s="32">
        <f>ROUND(E39*F39,2)</f>
        <v/>
      </c>
      <c r="H39" s="151">
        <f>G39/$G$56</f>
        <v/>
      </c>
      <c r="I39" s="32">
        <f>ROUND(F39*Прил.10!$D$13,2)</f>
        <v/>
      </c>
      <c r="J39" s="32">
        <f>ROUND(I39*E39,2)</f>
        <v/>
      </c>
    </row>
    <row r="40" outlineLevel="1" ht="26.25" customFormat="1" customHeight="1" s="212">
      <c r="A40" s="255" t="n">
        <v>12</v>
      </c>
      <c r="B40" s="148" t="inlineStr">
        <is>
          <t>20.1.02.22-0027</t>
        </is>
      </c>
      <c r="C40" s="254" t="inlineStr">
        <is>
          <t>Ушко: У-21-20</t>
        </is>
      </c>
      <c r="D40" s="255" t="inlineStr">
        <is>
          <t>шт</t>
        </is>
      </c>
      <c r="E40" s="149" t="n">
        <v>6</v>
      </c>
      <c r="F40" s="257" t="n">
        <v>272.53</v>
      </c>
      <c r="G40" s="32">
        <f>ROUND(E40*F40,2)</f>
        <v/>
      </c>
      <c r="H40" s="151">
        <f>G40/$G$56</f>
        <v/>
      </c>
      <c r="I40" s="32">
        <f>ROUND(F40*Прил.10!$D$13,2)</f>
        <v/>
      </c>
      <c r="J40" s="32">
        <f>ROUND(I40*E40,2)</f>
        <v/>
      </c>
    </row>
    <row r="41" outlineLevel="1" ht="25.5" customFormat="1" customHeight="1" s="212">
      <c r="A41" s="255" t="n">
        <v>13</v>
      </c>
      <c r="B41" s="148" t="inlineStr">
        <is>
          <t>22.2.02.04-0014</t>
        </is>
      </c>
      <c r="C41" s="254" t="inlineStr">
        <is>
          <t>Звено промежуточное монтажное ПТМ-21-2</t>
        </is>
      </c>
      <c r="D41" s="255" t="inlineStr">
        <is>
          <t>шт</t>
        </is>
      </c>
      <c r="E41" s="149" t="n">
        <v>6</v>
      </c>
      <c r="F41" s="257" t="n">
        <v>248.59</v>
      </c>
      <c r="G41" s="32">
        <f>ROUND(E41*F41,2)</f>
        <v/>
      </c>
      <c r="H41" s="151">
        <f>G41/$G$56</f>
        <v/>
      </c>
      <c r="I41" s="32">
        <f>ROUND(F41*Прил.10!$D$13,2)</f>
        <v/>
      </c>
      <c r="J41" s="32">
        <f>ROUND(I41*E41,2)</f>
        <v/>
      </c>
    </row>
    <row r="42" outlineLevel="1" ht="25.5" customFormat="1" customHeight="1" s="212">
      <c r="A42" s="255" t="n">
        <v>14</v>
      </c>
      <c r="B42" s="148" t="inlineStr">
        <is>
          <t>20.5.04.04-0013</t>
        </is>
      </c>
      <c r="C42" s="254" t="inlineStr">
        <is>
          <t>Зажим натяжной НАС-400-1 (прим.Зажим натяжной клиносочлененный ЗНК30-2)</t>
        </is>
      </c>
      <c r="D42" s="255" t="inlineStr">
        <is>
          <t>шт</t>
        </is>
      </c>
      <c r="E42" s="149" t="n">
        <v>6</v>
      </c>
      <c r="F42" s="257" t="n">
        <v>196.53</v>
      </c>
      <c r="G42" s="32">
        <f>ROUND(E42*F42,2)</f>
        <v/>
      </c>
      <c r="H42" s="151">
        <f>G42/$G$56</f>
        <v/>
      </c>
      <c r="I42" s="32">
        <f>ROUND(F42*Прил.10!$D$13,2)</f>
        <v/>
      </c>
      <c r="J42" s="32">
        <f>ROUND(I42*E42,2)</f>
        <v/>
      </c>
    </row>
    <row r="43" outlineLevel="1" ht="21.75" customFormat="1" customHeight="1" s="212">
      <c r="A43" s="255" t="n">
        <v>15</v>
      </c>
      <c r="B43" s="148" t="inlineStr">
        <is>
          <t>20.2.02.06-0001</t>
        </is>
      </c>
      <c r="C43" s="254" t="inlineStr">
        <is>
          <t>Экран защитный: ЭЗ-500-1А</t>
        </is>
      </c>
      <c r="D43" s="255" t="inlineStr">
        <is>
          <t>шт</t>
        </is>
      </c>
      <c r="E43" s="149" t="n">
        <v>1</v>
      </c>
      <c r="F43" s="257" t="n">
        <v>949.22</v>
      </c>
      <c r="G43" s="32">
        <f>ROUND(E43*F43,2)</f>
        <v/>
      </c>
      <c r="H43" s="151">
        <f>G43/$G$56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212">
      <c r="A44" s="255" t="n">
        <v>16</v>
      </c>
      <c r="B44" s="148" t="inlineStr">
        <is>
          <t>20.1.02.05-0007</t>
        </is>
      </c>
      <c r="C44" s="254" t="inlineStr">
        <is>
          <t>Коромысло 3К2-21-3 (прим.коромысло 3КЛ-21-3)</t>
        </is>
      </c>
      <c r="D44" s="255" t="inlineStr">
        <is>
          <t>шт</t>
        </is>
      </c>
      <c r="E44" s="149" t="n">
        <v>1</v>
      </c>
      <c r="F44" s="257" t="n">
        <v>625.41</v>
      </c>
      <c r="G44" s="32">
        <f>ROUND(E44*F44,2)</f>
        <v/>
      </c>
      <c r="H44" s="151">
        <f>G44/$G$56</f>
        <v/>
      </c>
      <c r="I44" s="32">
        <f>ROUND(F44*Прил.10!$D$13,2)</f>
        <v/>
      </c>
      <c r="J44" s="32">
        <f>ROUND(I44*E44,2)</f>
        <v/>
      </c>
    </row>
    <row r="45" outlineLevel="1" ht="14.25" customFormat="1" customHeight="1" s="212">
      <c r="A45" s="255" t="n">
        <v>17</v>
      </c>
      <c r="B45" s="148" t="inlineStr">
        <is>
          <t>20.2.09.10-0027</t>
        </is>
      </c>
      <c r="C45" s="254" t="inlineStr">
        <is>
          <t>Муфта защитная МПР-400-1</t>
        </is>
      </c>
      <c r="D45" s="255" t="inlineStr">
        <is>
          <t>шт</t>
        </is>
      </c>
      <c r="E45" s="149" t="n">
        <v>1</v>
      </c>
      <c r="F45" s="257" t="n">
        <v>576.48</v>
      </c>
      <c r="G45" s="32">
        <f>ROUND(E45*F45,2)</f>
        <v/>
      </c>
      <c r="H45" s="151">
        <f>G45/$G$56</f>
        <v/>
      </c>
      <c r="I45" s="32">
        <f>ROUND(F45*Прил.10!$D$13,2)</f>
        <v/>
      </c>
      <c r="J45" s="32">
        <f>ROUND(I45*E45,2)</f>
        <v/>
      </c>
    </row>
    <row r="46" outlineLevel="1" ht="14.25" customFormat="1" customHeight="1" s="212">
      <c r="A46" s="255" t="n">
        <v>18</v>
      </c>
      <c r="B46" s="148" t="inlineStr">
        <is>
          <t>20.1.02.21-0082</t>
        </is>
      </c>
      <c r="C46" s="254" t="inlineStr">
        <is>
          <t>Узел крепления экрана УКЭ-1Б</t>
        </is>
      </c>
      <c r="D46" s="255" t="inlineStr">
        <is>
          <t>шт</t>
        </is>
      </c>
      <c r="E46" s="149" t="n">
        <v>1</v>
      </c>
      <c r="F46" s="257" t="n">
        <v>474.88</v>
      </c>
      <c r="G46" s="32">
        <f>ROUND(E46*F46,2)</f>
        <v/>
      </c>
      <c r="H46" s="151">
        <f>G46/$G$56</f>
        <v/>
      </c>
      <c r="I46" s="32">
        <f>ROUND(F46*Прил.10!$D$13,2)</f>
        <v/>
      </c>
      <c r="J46" s="32">
        <f>ROUND(I46*E46,2)</f>
        <v/>
      </c>
    </row>
    <row r="47" outlineLevel="1" ht="14.25" customFormat="1" customHeight="1" s="212">
      <c r="A47" s="255" t="n">
        <v>19</v>
      </c>
      <c r="B47" s="148" t="inlineStr">
        <is>
          <t>20.1.02.14-1008</t>
        </is>
      </c>
      <c r="C47" s="254" t="inlineStr">
        <is>
          <t>Серьга СР-21-20</t>
        </is>
      </c>
      <c r="D47" s="255" t="inlineStr">
        <is>
          <t>шт</t>
        </is>
      </c>
      <c r="E47" s="149" t="n">
        <v>6</v>
      </c>
      <c r="F47" s="257" t="n">
        <v>68.73</v>
      </c>
      <c r="G47" s="32">
        <f>ROUND(E47*F47,2)</f>
        <v/>
      </c>
      <c r="H47" s="151">
        <f>G47/$G$56</f>
        <v/>
      </c>
      <c r="I47" s="32">
        <f>ROUND(F47*Прил.10!$D$13,2)</f>
        <v/>
      </c>
      <c r="J47" s="32">
        <f>ROUND(I47*E47,2)</f>
        <v/>
      </c>
    </row>
    <row r="48" outlineLevel="1" ht="14.25" customFormat="1" customHeight="1" s="212">
      <c r="A48" s="255" t="n">
        <v>20</v>
      </c>
      <c r="B48" s="148" t="inlineStr">
        <is>
          <t>22.2.02.04-0023</t>
        </is>
      </c>
      <c r="C48" s="254" t="inlineStr">
        <is>
          <t>Звено промежуточное прямое ПР-16-6</t>
        </is>
      </c>
      <c r="D48" s="255" t="inlineStr">
        <is>
          <t>шт</t>
        </is>
      </c>
      <c r="E48" s="149" t="n">
        <v>6</v>
      </c>
      <c r="F48" s="257" t="n">
        <v>60.08</v>
      </c>
      <c r="G48" s="32">
        <f>ROUND(E48*F48,2)</f>
        <v/>
      </c>
      <c r="H48" s="151">
        <f>G48/$G$56</f>
        <v/>
      </c>
      <c r="I48" s="32">
        <f>ROUND(F48*Прил.10!$D$13,2)</f>
        <v/>
      </c>
      <c r="J48" s="32">
        <f>ROUND(I48*E48,2)</f>
        <v/>
      </c>
    </row>
    <row r="49" outlineLevel="1" ht="14.25" customFormat="1" customHeight="1" s="212">
      <c r="A49" s="255" t="n">
        <v>21</v>
      </c>
      <c r="B49" s="148" t="inlineStr">
        <is>
          <t>01.7.15.10-0035</t>
        </is>
      </c>
      <c r="C49" s="254" t="inlineStr">
        <is>
          <t>Скобы СК-21-1А</t>
        </is>
      </c>
      <c r="D49" s="255" t="inlineStr">
        <is>
          <t>шт</t>
        </is>
      </c>
      <c r="E49" s="149" t="n">
        <v>3</v>
      </c>
      <c r="F49" s="257" t="n">
        <v>116.92</v>
      </c>
      <c r="G49" s="32">
        <f>ROUND(E49*F49,2)</f>
        <v/>
      </c>
      <c r="H49" s="151">
        <f>G49/$G$56</f>
        <v/>
      </c>
      <c r="I49" s="32">
        <f>ROUND(F49*Прил.10!$D$13,2)</f>
        <v/>
      </c>
      <c r="J49" s="32">
        <f>ROUND(I49*E49,2)</f>
        <v/>
      </c>
    </row>
    <row r="50" outlineLevel="1" ht="14.25" customFormat="1" customHeight="1" s="212">
      <c r="A50" s="255" t="n">
        <v>22</v>
      </c>
      <c r="B50" s="148" t="inlineStr">
        <is>
          <t>20.1.02.21-0034</t>
        </is>
      </c>
      <c r="C50" s="254" t="inlineStr">
        <is>
          <t>Узел крепления КГ-21-3</t>
        </is>
      </c>
      <c r="D50" s="255" t="inlineStr">
        <is>
          <t>шт</t>
        </is>
      </c>
      <c r="E50" s="149" t="n">
        <v>3</v>
      </c>
      <c r="F50" s="257" t="n">
        <v>107.4</v>
      </c>
      <c r="G50" s="32">
        <f>ROUND(E50*F50,2)</f>
        <v/>
      </c>
      <c r="H50" s="151">
        <f>G50/$G$56</f>
        <v/>
      </c>
      <c r="I50" s="32">
        <f>ROUND(F50*Прил.10!$D$13,2)</f>
        <v/>
      </c>
      <c r="J50" s="32">
        <f>ROUND(I50*E50,2)</f>
        <v/>
      </c>
    </row>
    <row r="51" outlineLevel="1" ht="25.5" customFormat="1" customHeight="1" s="212">
      <c r="A51" s="255" t="n">
        <v>23</v>
      </c>
      <c r="B51" s="148" t="inlineStr">
        <is>
          <t>22.2.02.04-0004</t>
        </is>
      </c>
      <c r="C51" s="254" t="inlineStr">
        <is>
          <t>Звено промежуточное вывернутое ПРВ-21-1</t>
        </is>
      </c>
      <c r="D51" s="255" t="inlineStr">
        <is>
          <t>шт</t>
        </is>
      </c>
      <c r="E51" s="149" t="n">
        <v>3</v>
      </c>
      <c r="F51" s="257" t="n">
        <v>83.93000000000001</v>
      </c>
      <c r="G51" s="32">
        <f>ROUND(E51*F51,2)</f>
        <v/>
      </c>
      <c r="H51" s="151">
        <f>G51/$G$56</f>
        <v/>
      </c>
      <c r="I51" s="32">
        <f>ROUND(F51*Прил.10!$D$13,2)</f>
        <v/>
      </c>
      <c r="J51" s="32">
        <f>ROUND(I51*E51,2)</f>
        <v/>
      </c>
    </row>
    <row r="52" outlineLevel="1" ht="25.5" customFormat="1" customHeight="1" s="212">
      <c r="A52" s="255" t="n">
        <v>24</v>
      </c>
      <c r="B52" s="148" t="inlineStr">
        <is>
          <t>22.2.02.04-0054</t>
        </is>
      </c>
      <c r="C52" s="254" t="inlineStr">
        <is>
          <t>Звено промежуточное трехлапчатое ПРТ-21/16-2</t>
        </is>
      </c>
      <c r="D52" s="255" t="inlineStr">
        <is>
          <t>шт</t>
        </is>
      </c>
      <c r="E52" s="149" t="n">
        <v>3</v>
      </c>
      <c r="F52" s="257" t="n">
        <v>80.09999999999999</v>
      </c>
      <c r="G52" s="32">
        <f>ROUND(E52*F52,2)</f>
        <v/>
      </c>
      <c r="H52" s="151">
        <f>G52/$G$56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212">
      <c r="A53" s="255" t="n">
        <v>25</v>
      </c>
      <c r="B53" s="148" t="inlineStr">
        <is>
          <t>22.2.02.04-0049</t>
        </is>
      </c>
      <c r="C53" s="254" t="inlineStr">
        <is>
          <t>Звено промежуточное трехлапчатое ПРТ-16-1</t>
        </is>
      </c>
      <c r="D53" s="255" t="inlineStr">
        <is>
          <t>шт</t>
        </is>
      </c>
      <c r="E53" s="149" t="n">
        <v>1</v>
      </c>
      <c r="F53" s="257" t="n">
        <v>80.59999999999999</v>
      </c>
      <c r="G53" s="32">
        <f>ROUND(E53*F53,2)</f>
        <v/>
      </c>
      <c r="H53" s="151">
        <f>G53/$G$56</f>
        <v/>
      </c>
      <c r="I53" s="32">
        <f>ROUND(F53*Прил.10!$D$13,2)</f>
        <v/>
      </c>
      <c r="J53" s="32">
        <f>ROUND(I53*E53,2)</f>
        <v/>
      </c>
    </row>
    <row r="54" outlineLevel="1" ht="25.5" customFormat="1" customHeight="1" s="212">
      <c r="A54" s="255" t="n">
        <v>26</v>
      </c>
      <c r="B54" s="148" t="inlineStr">
        <is>
          <t>999-9950</t>
        </is>
      </c>
      <c r="C54" s="254" t="inlineStr">
        <is>
          <t>Вспомогательные ненормируемые ресурсы (2% от Оплаты труда рабочих)</t>
        </is>
      </c>
      <c r="D54" s="255" t="inlineStr">
        <is>
          <t>руб</t>
        </is>
      </c>
      <c r="E54" s="149" t="n">
        <v>4.77</v>
      </c>
      <c r="F54" s="257" t="n">
        <v>1</v>
      </c>
      <c r="G54" s="32">
        <f>ROUND(E54*F54,2)</f>
        <v/>
      </c>
      <c r="H54" s="151">
        <f>G54/$G$56</f>
        <v/>
      </c>
      <c r="I54" s="32">
        <f>ROUND(F54*Прил.10!$D$13,2)</f>
        <v/>
      </c>
      <c r="J54" s="32">
        <f>ROUND(I54*E54,2)</f>
        <v/>
      </c>
    </row>
    <row r="55" ht="14.25" customFormat="1" customHeight="1" s="212">
      <c r="A55" s="255" t="n"/>
      <c r="B55" s="255" t="n"/>
      <c r="C55" s="254" t="inlineStr">
        <is>
          <t>Итого прочие материалы</t>
        </is>
      </c>
      <c r="D55" s="255" t="n"/>
      <c r="E55" s="256" t="n"/>
      <c r="F55" s="257" t="n"/>
      <c r="G55" s="32">
        <f>SUM(G39:G54)</f>
        <v/>
      </c>
      <c r="H55" s="258">
        <f>G55/G56</f>
        <v/>
      </c>
      <c r="I55" s="32" t="n"/>
      <c r="J55" s="32">
        <f>SUM(J39:J54)</f>
        <v/>
      </c>
    </row>
    <row r="56" ht="14.25" customFormat="1" customHeight="1" s="212">
      <c r="A56" s="255" t="n"/>
      <c r="B56" s="255" t="n"/>
      <c r="C56" s="259" t="inlineStr">
        <is>
          <t>Итого по разделу «Материалы»</t>
        </is>
      </c>
      <c r="D56" s="255" t="n"/>
      <c r="E56" s="256" t="n"/>
      <c r="F56" s="257" t="n"/>
      <c r="G56" s="32">
        <f>G38+G55</f>
        <v/>
      </c>
      <c r="H56" s="258" t="n">
        <v>1</v>
      </c>
      <c r="I56" s="32" t="n"/>
      <c r="J56" s="32">
        <f>J38+J55</f>
        <v/>
      </c>
    </row>
    <row r="57" ht="14.25" customFormat="1" customHeight="1" s="212">
      <c r="A57" s="255" t="n"/>
      <c r="B57" s="255" t="n"/>
      <c r="C57" s="254" t="inlineStr">
        <is>
          <t>ИТОГО ПО РМ</t>
        </is>
      </c>
      <c r="D57" s="255" t="n"/>
      <c r="E57" s="256" t="n"/>
      <c r="F57" s="257" t="n"/>
      <c r="G57" s="32">
        <f>G15+G26+G56</f>
        <v/>
      </c>
      <c r="H57" s="258" t="n"/>
      <c r="I57" s="32" t="n"/>
      <c r="J57" s="32">
        <f>J15+J26+J56</f>
        <v/>
      </c>
    </row>
    <row r="58" ht="14.25" customFormat="1" customHeight="1" s="212">
      <c r="A58" s="255" t="n"/>
      <c r="B58" s="255" t="n"/>
      <c r="C58" s="254" t="inlineStr">
        <is>
          <t>Накладные расходы</t>
        </is>
      </c>
      <c r="D58" s="155">
        <f>ROUND(G58/(G$17+$G$15),2)</f>
        <v/>
      </c>
      <c r="E58" s="256" t="n"/>
      <c r="F58" s="257" t="n"/>
      <c r="G58" s="32" t="n">
        <v>311.75</v>
      </c>
      <c r="H58" s="258" t="n"/>
      <c r="I58" s="32" t="n"/>
      <c r="J58" s="32">
        <f>ROUND(D58*(J15+J17),2)</f>
        <v/>
      </c>
    </row>
    <row r="59" ht="14.25" customFormat="1" customHeight="1" s="212">
      <c r="A59" s="255" t="n"/>
      <c r="B59" s="255" t="n"/>
      <c r="C59" s="254" t="inlineStr">
        <is>
          <t>Сметная прибыль</t>
        </is>
      </c>
      <c r="D59" s="155">
        <f>ROUND(G59/(G$15+G$17),2)</f>
        <v/>
      </c>
      <c r="E59" s="256" t="n"/>
      <c r="F59" s="257" t="n"/>
      <c r="G59" s="32" t="n">
        <v>163.91</v>
      </c>
      <c r="H59" s="258" t="n"/>
      <c r="I59" s="32" t="n"/>
      <c r="J59" s="32">
        <f>ROUND(D59*(J15+J17),2)</f>
        <v/>
      </c>
    </row>
    <row r="60" ht="14.25" customFormat="1" customHeight="1" s="212">
      <c r="A60" s="255" t="n"/>
      <c r="B60" s="255" t="n"/>
      <c r="C60" s="254" t="inlineStr">
        <is>
          <t>Итого СМР (с НР и СП)</t>
        </is>
      </c>
      <c r="D60" s="255" t="n"/>
      <c r="E60" s="256" t="n"/>
      <c r="F60" s="257" t="n"/>
      <c r="G60" s="32">
        <f>G15+G26+G56+G58+G59</f>
        <v/>
      </c>
      <c r="H60" s="258" t="n"/>
      <c r="I60" s="32" t="n"/>
      <c r="J60" s="32">
        <f>J15+J26+J56+J58+J59</f>
        <v/>
      </c>
    </row>
    <row r="61" ht="14.25" customFormat="1" customHeight="1" s="212">
      <c r="A61" s="255" t="n"/>
      <c r="B61" s="255" t="n"/>
      <c r="C61" s="254" t="inlineStr">
        <is>
          <t>ВСЕГО СМР + ОБОРУДОВАНИЕ</t>
        </is>
      </c>
      <c r="D61" s="255" t="n"/>
      <c r="E61" s="256" t="n"/>
      <c r="F61" s="257" t="n"/>
      <c r="G61" s="32">
        <f>G60+G31</f>
        <v/>
      </c>
      <c r="H61" s="258" t="n"/>
      <c r="I61" s="32" t="n"/>
      <c r="J61" s="32">
        <f>J60+J31</f>
        <v/>
      </c>
    </row>
    <row r="62" ht="34.5" customFormat="1" customHeight="1" s="212">
      <c r="A62" s="255" t="n"/>
      <c r="B62" s="255" t="n"/>
      <c r="C62" s="254" t="inlineStr">
        <is>
          <t>ИТОГО ПОКАЗАТЕЛЬ НА ЕД. ИЗМ.</t>
        </is>
      </c>
      <c r="D62" s="255" t="inlineStr">
        <is>
          <t>1 км ВЛ</t>
        </is>
      </c>
      <c r="E62" s="256" t="n">
        <v>0.16</v>
      </c>
      <c r="F62" s="257" t="n"/>
      <c r="G62" s="32">
        <f>G61/E62</f>
        <v/>
      </c>
      <c r="H62" s="258" t="n"/>
      <c r="I62" s="32" t="n"/>
      <c r="J62" s="32">
        <f>J61/E62</f>
        <v/>
      </c>
    </row>
    <row r="64" s="202">
      <c r="B64" s="203" t="inlineStr">
        <is>
          <t>Составил ______________________        А.Р. Маркова</t>
        </is>
      </c>
      <c r="C64" s="212" t="n"/>
    </row>
    <row r="65" s="202">
      <c r="B65" s="213" t="inlineStr">
        <is>
          <t xml:space="preserve">                         (подпись, инициалы, фамилия)</t>
        </is>
      </c>
      <c r="C65" s="212" t="n"/>
    </row>
    <row r="66" s="202">
      <c r="B66" s="203" t="n"/>
      <c r="C66" s="212" t="n"/>
    </row>
    <row r="67" s="202">
      <c r="B67" s="203" t="inlineStr">
        <is>
          <t>Проверил ______________________        А.В. Костянецкая</t>
        </is>
      </c>
      <c r="C67" s="212" t="n"/>
    </row>
    <row r="68" s="202">
      <c r="B68" s="213" t="inlineStr">
        <is>
          <t xml:space="preserve">                        (подпись, инициалы, фамилия)</t>
        </is>
      </c>
      <c r="C68" s="212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5" sqref="A15:XFD19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65" t="inlineStr">
        <is>
          <t>Приложение №6</t>
        </is>
      </c>
    </row>
    <row r="2" ht="21.75" customHeight="1" s="202">
      <c r="A2" s="265" t="n"/>
      <c r="B2" s="265" t="n"/>
      <c r="C2" s="265" t="n"/>
      <c r="D2" s="265" t="n"/>
      <c r="E2" s="265" t="n"/>
      <c r="F2" s="265" t="n"/>
      <c r="G2" s="265" t="n"/>
    </row>
    <row r="3">
      <c r="A3" s="224" t="inlineStr">
        <is>
          <t>Расчет стоимости оборудования</t>
        </is>
      </c>
    </row>
    <row r="4" ht="25.5" customHeight="1" s="202">
      <c r="A4" s="227" t="inlineStr">
        <is>
          <t>Наименование разрабатываемого показателя УНЦ - Гирлянды изоляторов ВЛ напряжение 500 кВ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" customHeight="1" s="202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5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2">
      <c r="A9" s="25" t="n"/>
      <c r="B9" s="254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 s="202">
      <c r="A10" s="255" t="n"/>
      <c r="B10" s="259" t="n"/>
      <c r="C10" s="254" t="inlineStr">
        <is>
          <t>ИТОГО ИНЖЕНЕРНОЕ ОБОРУДОВАНИЕ</t>
        </is>
      </c>
      <c r="D10" s="259" t="n"/>
      <c r="E10" s="104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 s="202">
      <c r="A12" s="255" t="n"/>
      <c r="B12" s="254" t="n"/>
      <c r="C12" s="254" t="inlineStr">
        <is>
          <t>ИТОГО ТЕХНОЛОГИЧЕСКОЕ ОБОРУДОВАНИЕ</t>
        </is>
      </c>
      <c r="D12" s="254" t="n"/>
      <c r="E12" s="269" t="n"/>
      <c r="F12" s="257" t="n"/>
      <c r="G12" s="32" t="n">
        <v>0</v>
      </c>
    </row>
    <row r="13" ht="19.5" customHeight="1" s="202">
      <c r="A13" s="255" t="n"/>
      <c r="B13" s="254" t="n"/>
      <c r="C13" s="254" t="inlineStr">
        <is>
          <t>Всего по разделу «Оборудование»</t>
        </is>
      </c>
      <c r="D13" s="254" t="n"/>
      <c r="E13" s="269" t="n"/>
      <c r="F13" s="257" t="n"/>
      <c r="G13" s="32" t="n">
        <v>0</v>
      </c>
    </row>
    <row r="14">
      <c r="A14" s="210" t="n"/>
      <c r="B14" s="211" t="n"/>
      <c r="C14" s="210" t="n"/>
      <c r="D14" s="210" t="n"/>
      <c r="E14" s="210" t="n"/>
      <c r="F14" s="210" t="n"/>
      <c r="G14" s="210" t="n"/>
    </row>
    <row r="15" s="202">
      <c r="B15" s="203" t="inlineStr">
        <is>
          <t>Составил ______________________        А.Р. Маркова</t>
        </is>
      </c>
      <c r="C15" s="212" t="n"/>
    </row>
    <row r="16" s="202">
      <c r="B16" s="213" t="inlineStr">
        <is>
          <t xml:space="preserve">                         (подпись, инициалы, фамилия)</t>
        </is>
      </c>
      <c r="C16" s="212" t="n"/>
    </row>
    <row r="17" s="202">
      <c r="B17" s="203" t="n"/>
      <c r="C17" s="212" t="n"/>
    </row>
    <row r="18" s="202">
      <c r="B18" s="203" t="inlineStr">
        <is>
          <t>Проверил ______________________        А.В. Костянецкая</t>
        </is>
      </c>
      <c r="C18" s="212" t="n"/>
    </row>
    <row r="19" s="202">
      <c r="B19" s="213" t="inlineStr">
        <is>
          <t xml:space="preserve">                        (подпись, инициалы, фамилия)</t>
        </is>
      </c>
      <c r="C19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:XFD17"/>
    </sheetView>
  </sheetViews>
  <sheetFormatPr baseColWidth="8" defaultColWidth="8.85546875" defaultRowHeight="15"/>
  <cols>
    <col width="19.28515625" customWidth="1" style="202" min="1" max="1"/>
    <col width="25.42578125" customWidth="1" style="202" min="2" max="2"/>
    <col width="38.28515625" customWidth="1" style="202" min="3" max="3"/>
    <col width="33.28515625" customWidth="1" style="202" min="4" max="4"/>
    <col width="8.85546875" customWidth="1" style="202" min="5" max="5"/>
  </cols>
  <sheetData>
    <row r="1">
      <c r="B1" s="203" t="n"/>
      <c r="C1" s="203" t="n"/>
      <c r="D1" s="265" t="inlineStr">
        <is>
          <t>Приложение №7</t>
        </is>
      </c>
    </row>
    <row r="2">
      <c r="A2" s="265" t="n"/>
      <c r="B2" s="265" t="n"/>
      <c r="C2" s="265" t="n"/>
      <c r="D2" s="265" t="n"/>
    </row>
    <row r="3">
      <c r="A3" s="224" t="inlineStr">
        <is>
          <t>Расчет показателя УНЦ</t>
        </is>
      </c>
    </row>
    <row r="4" ht="25.15" customHeight="1" s="202">
      <c r="A4" s="224" t="n"/>
      <c r="B4" s="224" t="n"/>
      <c r="C4" s="224" t="n"/>
      <c r="D4" s="224" t="n"/>
    </row>
    <row r="5" ht="44.45" customHeight="1" s="202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>
      <c r="A6" s="227" t="inlineStr">
        <is>
          <t>Единица измерения  — 1 км ВЛ</t>
        </is>
      </c>
      <c r="D6" s="227" t="n"/>
    </row>
    <row r="7">
      <c r="A7" s="203" t="n"/>
      <c r="B7" s="203" t="n"/>
      <c r="C7" s="203" t="n"/>
      <c r="D7" s="203" t="n"/>
    </row>
    <row r="8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4.45" customHeight="1" s="202">
      <c r="A11" s="255" t="inlineStr">
        <is>
          <t>Л10-05-1</t>
        </is>
      </c>
      <c r="B11" s="255" t="inlineStr">
        <is>
          <t>УНЦ гирлянды изоляторов ВЛ</t>
        </is>
      </c>
      <c r="C11" s="208">
        <f>D5</f>
        <v/>
      </c>
      <c r="D11" s="209">
        <f>'Прил.4 РМ'!C41/1000</f>
        <v/>
      </c>
    </row>
    <row r="12">
      <c r="A12" s="210" t="n"/>
      <c r="B12" s="211" t="n"/>
      <c r="C12" s="210" t="n"/>
      <c r="D12" s="210" t="n"/>
    </row>
    <row r="13" s="202">
      <c r="B13" s="203" t="inlineStr">
        <is>
          <t>Составил ______________________        А.Р. Маркова</t>
        </is>
      </c>
      <c r="C13" s="212" t="n"/>
    </row>
    <row r="14" s="202">
      <c r="B14" s="213" t="inlineStr">
        <is>
          <t xml:space="preserve">                         (подпись, инициалы, фамилия)</t>
        </is>
      </c>
      <c r="C14" s="212" t="n"/>
    </row>
    <row r="15" s="202">
      <c r="B15" s="203" t="n"/>
      <c r="C15" s="212" t="n"/>
    </row>
    <row r="16" s="202">
      <c r="B16" s="203" t="inlineStr">
        <is>
          <t>Проверил ______________________        А.В. Костянецкая</t>
        </is>
      </c>
      <c r="C16" s="212" t="n"/>
    </row>
    <row r="17" s="202">
      <c r="B17" s="213" t="inlineStr">
        <is>
          <t xml:space="preserve">                        (подпись, инициалы, фамилия)</t>
        </is>
      </c>
      <c r="C17" s="2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1" zoomScale="60" zoomScaleNormal="85" workbookViewId="0">
      <selection activeCell="C24" sqref="C24"/>
    </sheetView>
  </sheetViews>
  <sheetFormatPr baseColWidth="8" defaultRowHeight="15"/>
  <cols>
    <col width="9.140625" customWidth="1" style="202" min="1" max="1"/>
    <col width="40.7109375" customWidth="1" style="202" min="2" max="2"/>
    <col width="37" customWidth="1" style="202" min="3" max="3"/>
    <col width="32" customWidth="1" style="202" min="4" max="4"/>
    <col width="9.140625" customWidth="1" style="202" min="5" max="5"/>
  </cols>
  <sheetData>
    <row r="4" ht="15.75" customHeight="1" s="202">
      <c r="B4" s="232" t="inlineStr">
        <is>
          <t>Приложение № 10</t>
        </is>
      </c>
    </row>
    <row r="5" ht="18.75" customHeight="1" s="202">
      <c r="B5" s="137" t="n"/>
    </row>
    <row r="6" ht="15.75" customHeight="1" s="202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1" t="inlineStr">
        <is>
          <t>*Стоимость ПНР принята на основании СД ОП</t>
        </is>
      </c>
    </row>
    <row r="8">
      <c r="B8" s="271" t="n"/>
      <c r="C8" s="271" t="n"/>
      <c r="D8" s="271" t="n"/>
      <c r="E8" s="271" t="n"/>
    </row>
    <row r="9" ht="47.25" customHeight="1" s="202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2">
      <c r="B10" s="238" t="n">
        <v>1</v>
      </c>
      <c r="C10" s="238" t="n">
        <v>2</v>
      </c>
      <c r="D10" s="238" t="n">
        <v>3</v>
      </c>
    </row>
    <row r="11" ht="47.25" customHeight="1" s="202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01.04.2023г. №17772-ИФ/09  прил.9</t>
        </is>
      </c>
      <c r="D11" s="238" t="n">
        <v>46.83</v>
      </c>
    </row>
    <row r="12" ht="47.25" customHeight="1" s="202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01.04.2023г. №17772-ИФ/09  прил.9</t>
        </is>
      </c>
      <c r="D12" s="238" t="n">
        <v>11.79</v>
      </c>
    </row>
    <row r="13" ht="47.25" customHeight="1" s="202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01.04.2023г. №17772-ИФ/09  прил.9</t>
        </is>
      </c>
      <c r="D13" s="238" t="n">
        <v>9.140000000000001</v>
      </c>
    </row>
    <row r="14" ht="30.75" customHeight="1" s="202">
      <c r="B14" s="238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2">
      <c r="B15" s="238" t="inlineStr">
        <is>
          <t>Временные здания и сооружения</t>
        </is>
      </c>
      <c r="C15" s="2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202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202">
      <c r="B17" s="238" t="n"/>
      <c r="C17" s="238" t="n"/>
      <c r="D17" s="238" t="n"/>
    </row>
    <row r="18" ht="31.5" customHeight="1" s="202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8" t="n">
        <v>0.0214</v>
      </c>
    </row>
    <row r="19" ht="31.5" customHeight="1" s="202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8" t="n">
        <v>0.002</v>
      </c>
    </row>
    <row r="20" ht="24" customHeight="1" s="202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8" t="n">
        <v>0.03</v>
      </c>
    </row>
    <row r="21" ht="18.75" customHeight="1" s="202">
      <c r="B21" s="116" t="n"/>
    </row>
    <row r="22" ht="18.75" customHeight="1" s="202">
      <c r="B22" s="116" t="n"/>
    </row>
    <row r="23" ht="18.75" customHeight="1" s="202">
      <c r="B23" s="116" t="n"/>
    </row>
    <row r="24" ht="18.75" customHeight="1" s="202">
      <c r="B24" s="116" t="n"/>
    </row>
    <row r="27" s="202">
      <c r="B27" s="203" t="inlineStr">
        <is>
          <t>Составил ______________________        А.Р. Маркова</t>
        </is>
      </c>
      <c r="C27" s="212" t="n"/>
    </row>
    <row r="28" s="202">
      <c r="B28" s="213" t="inlineStr">
        <is>
          <t xml:space="preserve">                         (подпись, инициалы, фамилия)</t>
        </is>
      </c>
      <c r="C28" s="212" t="n"/>
    </row>
    <row r="29" s="202">
      <c r="B29" s="203" t="n"/>
      <c r="C29" s="212" t="n"/>
    </row>
    <row r="30" s="202">
      <c r="B30" s="203" t="inlineStr">
        <is>
          <t>Проверил ______________________        А.В. Костянецкая</t>
        </is>
      </c>
      <c r="C30" s="212" t="n"/>
    </row>
    <row r="31" s="202">
      <c r="B31" s="213" t="inlineStr">
        <is>
          <t xml:space="preserve">                        (подпись, инициалы, фамилия)</t>
        </is>
      </c>
      <c r="C31" s="2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9" sqref="D19"/>
    </sheetView>
  </sheetViews>
  <sheetFormatPr baseColWidth="8" defaultRowHeight="15"/>
  <cols>
    <col width="9.140625" customWidth="1" style="202" min="1" max="1"/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  <col width="9.140625" customWidth="1" style="202" min="7" max="7"/>
  </cols>
  <sheetData>
    <row r="2" ht="17.25" customHeight="1" s="202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2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202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202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202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202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202">
      <c r="A9" s="127" t="inlineStr">
        <is>
          <t>1.3</t>
        </is>
      </c>
      <c r="B9" s="128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29" t="n">
        <v>1</v>
      </c>
      <c r="F9" s="128" t="n"/>
      <c r="G9" s="130" t="n"/>
    </row>
    <row r="10" ht="15.75" customHeight="1" s="202">
      <c r="A10" s="127" t="inlineStr">
        <is>
          <t>1.4</t>
        </is>
      </c>
      <c r="B10" s="128" t="inlineStr">
        <is>
          <t>Средний разряд работ</t>
        </is>
      </c>
      <c r="C10" s="238" t="n"/>
      <c r="D10" s="238" t="n"/>
      <c r="E10" s="131" t="n">
        <v>4</v>
      </c>
      <c r="F10" s="128" t="inlineStr">
        <is>
          <t>РТМ</t>
        </is>
      </c>
      <c r="G10" s="130" t="n"/>
    </row>
    <row r="11" ht="78.75" customHeight="1" s="202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202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2">
      <c r="A13" s="127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2025-01-24T12:09:47Z</dcterms:modified>
  <cp:lastModifiedBy>Danil</cp:lastModifiedBy>
  <cp:lastPrinted>2023-11-29T08:56:16Z</cp:lastPrinted>
</cp:coreProperties>
</file>