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69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2" zoomScale="70" zoomScaleNormal="70" workbookViewId="0">
      <selection activeCell="A26" sqref="A26:XFD30"/>
    </sheetView>
  </sheetViews>
  <sheetFormatPr baseColWidth="8" defaultRowHeight="15"/>
  <cols>
    <col width="36.85546875" customWidth="1" style="205" min="3" max="3"/>
    <col width="43.85546875" customWidth="1" style="205" min="4" max="4"/>
  </cols>
  <sheetData>
    <row r="3" ht="15.75" customHeight="1" s="205">
      <c r="B3" s="237" t="inlineStr">
        <is>
          <t>Приложение № 1</t>
        </is>
      </c>
    </row>
    <row r="4" ht="18.75" customHeight="1" s="205">
      <c r="B4" s="238" t="inlineStr">
        <is>
          <t>Сравнительная таблица отбора объекта-представителя</t>
        </is>
      </c>
    </row>
    <row r="5" ht="84" customHeight="1" s="205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15" t="n"/>
      <c r="C6" s="115" t="n"/>
      <c r="D6" s="115" t="n"/>
    </row>
    <row r="7" ht="42" customHeight="1" s="205">
      <c r="B7" s="236" t="inlineStr">
        <is>
          <t>Наименование разрабатываемого показателя УНЦ - Гирлянды изоляторов ВЛ напряжение 750 кВ</t>
        </is>
      </c>
    </row>
    <row r="8" ht="31.5" customHeight="1" s="205">
      <c r="B8" s="236" t="inlineStr">
        <is>
          <t>Сопоставимый уровень цен: 4 кв. 2016 г.</t>
        </is>
      </c>
    </row>
    <row r="9" ht="15.75" customHeight="1" s="205">
      <c r="B9" s="236" t="inlineStr">
        <is>
          <t>Единица измерения  — 1 км ВЛ</t>
        </is>
      </c>
    </row>
    <row r="10" ht="18.75" customHeight="1" s="205">
      <c r="B10" s="116" t="n"/>
    </row>
    <row r="11" ht="15.75" customHeight="1" s="205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>Объект-представитель</t>
        </is>
      </c>
    </row>
    <row r="12" ht="41.25" customHeight="1" s="205">
      <c r="B12" s="243" t="n">
        <v>1</v>
      </c>
      <c r="C12" s="118" t="inlineStr">
        <is>
          <t>Наименование объекта-представителя</t>
        </is>
      </c>
      <c r="D12" s="219" t="inlineStr">
        <is>
          <t>ПС 500 кВ Преображенская</t>
        </is>
      </c>
    </row>
    <row r="13" ht="31.5" customHeight="1" s="205">
      <c r="B13" s="243" t="n">
        <v>2</v>
      </c>
      <c r="C13" s="118" t="inlineStr">
        <is>
          <t>Наименование субъекта Российской Федерации</t>
        </is>
      </c>
      <c r="D13" s="219" t="inlineStr">
        <is>
          <t>Оренбургская область</t>
        </is>
      </c>
    </row>
    <row r="14" ht="15.75" customHeight="1" s="205">
      <c r="B14" s="243" t="n">
        <v>3</v>
      </c>
      <c r="C14" s="118" t="inlineStr">
        <is>
          <t>Климатический район и подрайон</t>
        </is>
      </c>
      <c r="D14" s="219" t="inlineStr">
        <is>
          <t>IВ</t>
        </is>
      </c>
    </row>
    <row r="15" ht="15.75" customHeight="1" s="205">
      <c r="B15" s="243" t="n">
        <v>4</v>
      </c>
      <c r="C15" s="118" t="inlineStr">
        <is>
          <t>Мощность объекта</t>
        </is>
      </c>
      <c r="D15" s="219" t="n">
        <v>0.17</v>
      </c>
    </row>
    <row r="16" ht="161.25" customHeight="1" s="205">
      <c r="B16" s="243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Гирлянды изоляторов</t>
        </is>
      </c>
    </row>
    <row r="17" ht="95.25" customHeight="1" s="205">
      <c r="B17" s="243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SUM(D18:D21)</f>
        <v/>
      </c>
    </row>
    <row r="18" ht="15.75" customHeight="1" s="205">
      <c r="B18" s="120" t="inlineStr">
        <is>
          <t>6.1</t>
        </is>
      </c>
      <c r="C18" s="118" t="inlineStr">
        <is>
          <t>строительно-монтажные работы</t>
        </is>
      </c>
      <c r="D18" s="219" t="n">
        <v>560.67</v>
      </c>
    </row>
    <row r="19" ht="15.75" customHeight="1" s="205">
      <c r="B19" s="120" t="inlineStr">
        <is>
          <t>6.2</t>
        </is>
      </c>
      <c r="C19" s="118" t="inlineStr">
        <is>
          <t>оборудование и инвентарь</t>
        </is>
      </c>
      <c r="D19" s="221" t="n">
        <v>0</v>
      </c>
    </row>
    <row r="20" ht="15.75" customHeight="1" s="205">
      <c r="B20" s="120" t="inlineStr">
        <is>
          <t>6.3</t>
        </is>
      </c>
      <c r="C20" s="118" t="inlineStr">
        <is>
          <t>пусконаладочные работы</t>
        </is>
      </c>
      <c r="D20" s="221" t="n">
        <v>0</v>
      </c>
    </row>
    <row r="21" ht="31.5" customHeight="1" s="205">
      <c r="B21" s="120" t="inlineStr">
        <is>
          <t>6.4</t>
        </is>
      </c>
      <c r="C21" s="118" t="inlineStr">
        <is>
          <t>прочие и лимитированные затраты</t>
        </is>
      </c>
      <c r="D21" s="221">
        <f>D18*3.9%+(D18+D18*3.9%)*3.2%</f>
        <v/>
      </c>
    </row>
    <row r="22" ht="15.75" customHeight="1" s="205">
      <c r="B22" s="243" t="n">
        <v>7</v>
      </c>
      <c r="C22" s="118" t="inlineStr">
        <is>
          <t>Сопоставимый уровень цен</t>
        </is>
      </c>
      <c r="D22" s="219" t="inlineStr">
        <is>
          <t>4 кв. 2016 г.</t>
        </is>
      </c>
    </row>
    <row r="23" ht="110.25" customHeight="1" s="205">
      <c r="B23" s="243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D17/5.17*7.62</f>
        <v/>
      </c>
    </row>
    <row r="24" ht="61.5" customHeight="1" s="205">
      <c r="B24" s="243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21">
        <f>D23/D15</f>
        <v/>
      </c>
    </row>
    <row r="25" ht="37.5" customHeight="1" s="205">
      <c r="B25" s="121" t="n"/>
      <c r="C25" s="122" t="n"/>
      <c r="D25" s="122" t="n"/>
    </row>
    <row r="26" s="205">
      <c r="B26" s="206" t="inlineStr">
        <is>
          <t>Составил ______________________        А.Р. Маркова</t>
        </is>
      </c>
      <c r="C26" s="215" t="n"/>
    </row>
    <row r="27" s="205">
      <c r="B27" s="216" t="inlineStr">
        <is>
          <t xml:space="preserve">                         (подпись, инициалы, фамилия)</t>
        </is>
      </c>
      <c r="C27" s="215" t="n"/>
    </row>
    <row r="28" s="205">
      <c r="B28" s="206" t="n"/>
      <c r="C28" s="215" t="n"/>
    </row>
    <row r="29" s="205">
      <c r="B29" s="206" t="inlineStr">
        <is>
          <t>Проверил ______________________        А.В. Костянецкая</t>
        </is>
      </c>
      <c r="C29" s="215" t="n"/>
    </row>
    <row r="30" s="205">
      <c r="B30" s="216" t="inlineStr">
        <is>
          <t xml:space="preserve">                        (подпись, инициалы, фамилия)</t>
        </is>
      </c>
      <c r="C30" s="215" t="n"/>
    </row>
    <row r="31" ht="15.75" customHeight="1" s="205">
      <c r="B31" s="122" t="n"/>
      <c r="C31" s="122" t="n"/>
      <c r="D31" s="1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60" zoomScaleNormal="70" workbookViewId="0">
      <selection activeCell="A18" sqref="A18:XFD22"/>
    </sheetView>
  </sheetViews>
  <sheetFormatPr baseColWidth="8" defaultRowHeight="15"/>
  <cols>
    <col width="5.5703125" customWidth="1" style="205" min="1" max="1"/>
    <col width="5.7109375" customWidth="1" style="205" min="2" max="2"/>
    <col width="27.85546875" customWidth="1" style="205" min="3" max="3"/>
    <col width="12" customWidth="1" style="205" min="4" max="4"/>
    <col width="17.42578125" customWidth="1" style="205" min="5" max="5"/>
    <col width="12.7109375" customWidth="1" style="205" min="6" max="6"/>
    <col width="14.85546875" customWidth="1" style="205" min="7" max="7"/>
    <col width="11.140625" customWidth="1" style="205" min="8" max="8"/>
    <col width="13" customWidth="1" style="205" min="9" max="9"/>
    <col width="9.42578125" customWidth="1" style="205" min="10" max="10"/>
  </cols>
  <sheetData>
    <row r="3" ht="15.75" customHeight="1" s="205">
      <c r="B3" s="237" t="inlineStr">
        <is>
          <t>Приложение № 2</t>
        </is>
      </c>
    </row>
    <row r="4" ht="15.75" customHeight="1" s="205">
      <c r="B4" s="242" t="inlineStr">
        <is>
          <t>Расчет стоимости основных видов работ для выбора объекта-представителя</t>
        </is>
      </c>
    </row>
    <row r="5" ht="15.75" customHeight="1" s="205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</row>
    <row r="6" ht="15.75" customHeight="1" s="205">
      <c r="B6" s="236" t="inlineStr">
        <is>
          <t>Наименование разрабатываемого показателя УНЦ - Гирлянды изоляторов ВЛ напряжение 750 кВ</t>
        </is>
      </c>
    </row>
    <row r="7" ht="15.75" customHeight="1" s="205">
      <c r="B7" s="236" t="inlineStr">
        <is>
          <t>Единица измерения  — 1 км ВЛ</t>
        </is>
      </c>
    </row>
    <row r="8" ht="18.75" customHeight="1" s="205">
      <c r="B8" s="116" t="n"/>
    </row>
    <row r="9" ht="15.75" customHeight="1" s="205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205">
      <c r="B10" s="322" t="n"/>
      <c r="C10" s="322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2016г., тыс. руб.</t>
        </is>
      </c>
      <c r="G10" s="320" t="n"/>
      <c r="H10" s="320" t="n"/>
      <c r="I10" s="320" t="n"/>
      <c r="J10" s="321" t="n"/>
    </row>
    <row r="11" ht="116.45" customHeight="1" s="205">
      <c r="B11" s="323" t="n"/>
      <c r="C11" s="323" t="n"/>
      <c r="D11" s="323" t="n"/>
      <c r="E11" s="323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</row>
    <row r="12" ht="115.9" customHeight="1" s="205">
      <c r="B12" s="223" t="n">
        <v>1</v>
      </c>
      <c r="C12" s="223" t="inlineStr">
        <is>
          <t>Гирлянды изоляторов</t>
        </is>
      </c>
      <c r="D12" s="223" t="inlineStr">
        <is>
          <t>02-01-02-5</t>
        </is>
      </c>
      <c r="E12" s="223" t="inlineStr">
        <is>
          <t xml:space="preserve">Установка автотрансформаторов.. Электротехнические решения </t>
        </is>
      </c>
      <c r="F12" s="223" t="n"/>
      <c r="G12" s="224">
        <f>108426.68*5.17/1000</f>
        <v/>
      </c>
      <c r="H12" s="224" t="n"/>
      <c r="I12" s="224" t="n"/>
      <c r="J12" s="224">
        <f>SUM(F12:I12)</f>
        <v/>
      </c>
    </row>
    <row r="13" ht="15.75" customHeight="1" s="205">
      <c r="B13" s="240" t="inlineStr">
        <is>
          <t>Всего по объекту:</t>
        </is>
      </c>
      <c r="C13" s="324" t="n"/>
      <c r="D13" s="324" t="n"/>
      <c r="E13" s="325" t="n"/>
      <c r="F13" s="225" t="n"/>
      <c r="G13" s="226">
        <f>G12</f>
        <v/>
      </c>
      <c r="H13" s="226" t="n"/>
      <c r="I13" s="226" t="n"/>
      <c r="J13" s="226" t="n"/>
    </row>
    <row r="14" ht="28.5" customHeight="1" s="205">
      <c r="B14" s="241" t="inlineStr">
        <is>
          <t>Всего по объекту в сопоставимом уровне цен 4 кв. 2016г:</t>
        </is>
      </c>
      <c r="C14" s="320" t="n"/>
      <c r="D14" s="320" t="n"/>
      <c r="E14" s="321" t="n"/>
      <c r="F14" s="227" t="n"/>
      <c r="G14" s="228">
        <f>G13</f>
        <v/>
      </c>
      <c r="H14" s="228" t="n"/>
      <c r="I14" s="228" t="n"/>
      <c r="J14" s="228">
        <f>SUM(F14:I14)</f>
        <v/>
      </c>
    </row>
    <row r="15" ht="18.75" customHeight="1" s="205">
      <c r="B15" s="116" t="n"/>
    </row>
    <row r="18" s="205">
      <c r="B18" s="206" t="inlineStr">
        <is>
          <t>Составил ______________________        А.Р. Маркова</t>
        </is>
      </c>
      <c r="C18" s="215" t="n"/>
    </row>
    <row r="19" s="205">
      <c r="B19" s="216" t="inlineStr">
        <is>
          <t xml:space="preserve">                         (подпись, инициалы, фамилия)</t>
        </is>
      </c>
      <c r="C19" s="215" t="n"/>
    </row>
    <row r="20" s="205">
      <c r="B20" s="206" t="n"/>
      <c r="C20" s="215" t="n"/>
    </row>
    <row r="21" s="205">
      <c r="B21" s="206" t="inlineStr">
        <is>
          <t>Проверил ______________________        А.В. Костянецкая</t>
        </is>
      </c>
      <c r="C21" s="215" t="n"/>
    </row>
    <row r="22" s="205">
      <c r="B22" s="216" t="inlineStr">
        <is>
          <t xml:space="preserve">                        (подпись, инициалы, фамилия)</t>
        </is>
      </c>
      <c r="C22" s="21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6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4"/>
  <sheetViews>
    <sheetView view="pageBreakPreview" topLeftCell="A31" zoomScale="84" workbookViewId="0">
      <selection activeCell="D51" sqref="D51"/>
    </sheetView>
  </sheetViews>
  <sheetFormatPr baseColWidth="8" defaultRowHeight="15"/>
  <cols>
    <col width="8.5703125" customWidth="1" style="205" min="1" max="1"/>
    <col width="12.85546875" customWidth="1" style="205" min="2" max="2"/>
    <col width="16.85546875" customWidth="1" style="205" min="3" max="3"/>
    <col width="49.85546875" customWidth="1" style="205" min="4" max="4"/>
    <col width="12.28515625" customWidth="1" style="205" min="5" max="5"/>
    <col width="19.85546875" customWidth="1" style="205" min="6" max="6"/>
    <col width="17.85546875" customWidth="1" style="205" min="7" max="7"/>
    <col width="19.42578125" customWidth="1" style="173" min="8" max="8"/>
    <col width="10.140625" customWidth="1" style="205" min="9" max="9"/>
  </cols>
  <sheetData>
    <row r="2" ht="15.75" customHeight="1" s="205">
      <c r="A2" s="237" t="inlineStr">
        <is>
          <t xml:space="preserve">Приложение № 3 </t>
        </is>
      </c>
      <c r="I2" s="121" t="n"/>
    </row>
    <row r="3" ht="18.75" customHeight="1" s="205">
      <c r="A3" s="238" t="inlineStr">
        <is>
          <t>Объектная ресурсная ведомость</t>
        </is>
      </c>
    </row>
    <row r="4" ht="25.5" customHeight="1" s="205">
      <c r="B4" s="172" t="n"/>
      <c r="C4" s="2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205">
      <c r="C5" s="152" t="n"/>
      <c r="D5" s="152" t="n"/>
      <c r="E5" s="152" t="n"/>
      <c r="F5" s="152" t="n"/>
      <c r="G5" s="152" t="n"/>
      <c r="H5" s="153" t="n"/>
    </row>
    <row r="6" ht="15" customHeight="1" s="205">
      <c r="A6" s="251" t="inlineStr">
        <is>
          <t>Наименование разрабатываемого показателя УНЦ - Гирлянды изоляторов ВЛ напряжение 750 кВ</t>
        </is>
      </c>
      <c r="G6" s="154" t="n"/>
      <c r="H6" s="155" t="n"/>
    </row>
    <row r="7" ht="14.25" customHeight="1" s="205">
      <c r="G7" s="154" t="n"/>
      <c r="H7" s="155" t="n"/>
    </row>
    <row r="8" ht="15.75" customHeight="1" s="205">
      <c r="C8" s="156" t="n"/>
      <c r="D8" s="157" t="n"/>
      <c r="E8" s="158" t="n"/>
      <c r="F8" s="159" t="n"/>
      <c r="G8" s="160" t="n"/>
      <c r="H8" s="161" t="n"/>
    </row>
    <row r="9" ht="38.25" customHeight="1" s="205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21" t="n"/>
    </row>
    <row r="10" ht="40.5" customHeight="1" s="205">
      <c r="A10" s="323" t="n"/>
      <c r="B10" s="323" t="n"/>
      <c r="C10" s="323" t="n"/>
      <c r="D10" s="323" t="n"/>
      <c r="E10" s="323" t="n"/>
      <c r="F10" s="323" t="n"/>
      <c r="G10" s="243" t="inlineStr">
        <is>
          <t>на ед.изм.</t>
        </is>
      </c>
      <c r="H10" s="243" t="inlineStr">
        <is>
          <t>общая</t>
        </is>
      </c>
    </row>
    <row r="11" ht="15.75" customHeight="1" s="205">
      <c r="A11" s="243" t="n">
        <v>1</v>
      </c>
      <c r="B11" s="162" t="n"/>
      <c r="C11" s="243" t="n">
        <v>2</v>
      </c>
      <c r="D11" s="243" t="inlineStr">
        <is>
          <t>З</t>
        </is>
      </c>
      <c r="E11" s="243" t="n">
        <v>4</v>
      </c>
      <c r="F11" s="243" t="n">
        <v>5</v>
      </c>
      <c r="G11" s="162" t="n">
        <v>6</v>
      </c>
      <c r="H11" s="162" t="n">
        <v>7</v>
      </c>
    </row>
    <row r="12" ht="15" customHeight="1" s="205">
      <c r="A12" s="249" t="inlineStr">
        <is>
          <t>Затраты труда рабочих</t>
        </is>
      </c>
      <c r="B12" s="320" t="n"/>
      <c r="C12" s="320" t="n"/>
      <c r="D12" s="321" t="n"/>
      <c r="E12" s="163" t="n"/>
      <c r="F12" s="178">
        <f>SUM(F13:F13)</f>
        <v/>
      </c>
      <c r="G12" s="163" t="n"/>
      <c r="H12" s="179">
        <f>SUM(H13:H13)</f>
        <v/>
      </c>
    </row>
    <row r="13">
      <c r="A13" s="144" t="inlineStr">
        <is>
          <t>1</t>
        </is>
      </c>
      <c r="B13" s="144" t="n"/>
      <c r="C13" s="168" t="inlineStr">
        <is>
          <t>1-4-0</t>
        </is>
      </c>
      <c r="D13" s="164" t="inlineStr">
        <is>
          <t>Затраты труда рабочих (ср 4)</t>
        </is>
      </c>
      <c r="E13" s="275" t="inlineStr">
        <is>
          <t>чел.-ч</t>
        </is>
      </c>
      <c r="F13" s="275" t="n">
        <v>46.45</v>
      </c>
      <c r="G13" s="165" t="n">
        <v>9.619999999999999</v>
      </c>
      <c r="H13" s="32">
        <f>ROUND(F13*G13,2)</f>
        <v/>
      </c>
      <c r="J13" s="56">
        <f>(4*F13)/SUM(F13:F13)</f>
        <v/>
      </c>
      <c r="K13" s="166" t="n"/>
      <c r="L13" s="166" t="n"/>
    </row>
    <row r="14">
      <c r="A14" s="326" t="inlineStr">
        <is>
          <t>Затраты труда машинистов</t>
        </is>
      </c>
      <c r="B14" s="324" t="n"/>
      <c r="C14" s="324" t="n"/>
      <c r="D14" s="325" t="n"/>
      <c r="E14" s="275" t="n"/>
      <c r="F14" s="168" t="n"/>
      <c r="G14" s="165" t="n"/>
      <c r="H14" s="180">
        <f>H15</f>
        <v/>
      </c>
      <c r="L14" s="166" t="n"/>
    </row>
    <row r="15">
      <c r="A15" s="144" t="inlineStr">
        <is>
          <t>2</t>
        </is>
      </c>
      <c r="B15" s="177" t="n"/>
      <c r="C15" s="144" t="n">
        <v>2</v>
      </c>
      <c r="D15" s="259" t="inlineStr">
        <is>
          <t>Затраты труда машинистов</t>
        </is>
      </c>
      <c r="E15" s="260" t="inlineStr">
        <is>
          <t>чел.час</t>
        </is>
      </c>
      <c r="F15" s="260" t="n">
        <v>14.1</v>
      </c>
      <c r="G15" s="274" t="n"/>
      <c r="H15" s="274" t="n">
        <v>166.49</v>
      </c>
    </row>
    <row r="16" ht="15" customHeight="1" s="205">
      <c r="A16" s="249" t="inlineStr">
        <is>
          <t>Машины и механизмы</t>
        </is>
      </c>
      <c r="B16" s="320" t="n"/>
      <c r="C16" s="320" t="n"/>
      <c r="D16" s="321" t="n"/>
      <c r="E16" s="163" t="n"/>
      <c r="F16" s="163" t="n"/>
      <c r="G16" s="163" t="n"/>
      <c r="H16" s="181">
        <f>SUM(H17:H20)</f>
        <v/>
      </c>
      <c r="K16" s="166" t="n"/>
    </row>
    <row r="17" ht="25.5" customHeight="1" s="205">
      <c r="A17" s="260">
        <f>A15+1</f>
        <v/>
      </c>
      <c r="B17" s="144" t="n"/>
      <c r="C17" s="144" t="inlineStr">
        <is>
          <t>91.06.03-058</t>
        </is>
      </c>
      <c r="D17" s="259" t="inlineStr">
        <is>
          <t>Лебедки электрические тяговым усилием 156,96 кН (16 т)</t>
        </is>
      </c>
      <c r="E17" s="260" t="inlineStr">
        <is>
          <t>маш.час</t>
        </is>
      </c>
      <c r="F17" s="260" t="n">
        <v>9.9</v>
      </c>
      <c r="G17" s="262" t="n">
        <v>131.44</v>
      </c>
      <c r="H17" s="32">
        <f>ROUND(F17*G17,2)</f>
        <v/>
      </c>
      <c r="I17" s="169" t="n"/>
    </row>
    <row r="18" ht="25.5" customHeight="1" s="205">
      <c r="A18" s="260">
        <f>A17+1</f>
        <v/>
      </c>
      <c r="B18" s="144" t="n"/>
      <c r="C18" s="144" t="inlineStr">
        <is>
          <t>91.05.05-015</t>
        </is>
      </c>
      <c r="D18" s="259" t="inlineStr">
        <is>
          <t>Краны на автомобильном ходу, грузоподъемность 16 т</t>
        </is>
      </c>
      <c r="E18" s="260" t="inlineStr">
        <is>
          <t>маш.час</t>
        </is>
      </c>
      <c r="F18" s="260" t="n">
        <v>2.35</v>
      </c>
      <c r="G18" s="262" t="n">
        <v>115.4</v>
      </c>
      <c r="H18" s="32">
        <f>ROUND(F18*G18,2)</f>
        <v/>
      </c>
      <c r="I18" s="169" t="n"/>
    </row>
    <row r="19">
      <c r="A19" s="260">
        <f>A18+1</f>
        <v/>
      </c>
      <c r="B19" s="144" t="n"/>
      <c r="C19" s="144" t="inlineStr">
        <is>
          <t>91.14.02-001</t>
        </is>
      </c>
      <c r="D19" s="259" t="inlineStr">
        <is>
          <t>Автомобили бортовые, грузоподъемность до 5 т</t>
        </is>
      </c>
      <c r="E19" s="260" t="inlineStr">
        <is>
          <t>маш.час</t>
        </is>
      </c>
      <c r="F19" s="260" t="n">
        <v>0.85</v>
      </c>
      <c r="G19" s="262" t="n">
        <v>65.70999999999999</v>
      </c>
      <c r="H19" s="32">
        <f>ROUND(F19*G19,2)</f>
        <v/>
      </c>
      <c r="I19" s="169" t="n"/>
    </row>
    <row r="20">
      <c r="A20" s="260">
        <f>A19+1</f>
        <v/>
      </c>
      <c r="B20" s="144" t="n"/>
      <c r="C20" s="144" t="inlineStr">
        <is>
          <t>91.06.06-042</t>
        </is>
      </c>
      <c r="D20" s="259" t="inlineStr">
        <is>
          <t>Подъемники гидравлические, высота подъема 10 м</t>
        </is>
      </c>
      <c r="E20" s="260" t="inlineStr">
        <is>
          <t>маш.час</t>
        </is>
      </c>
      <c r="F20" s="260" t="n">
        <v>1</v>
      </c>
      <c r="G20" s="262" t="n">
        <v>29.6</v>
      </c>
      <c r="H20" s="32">
        <f>ROUND(F20*G20,2)</f>
        <v/>
      </c>
      <c r="I20" s="169" t="n"/>
    </row>
    <row r="21" ht="15" customHeight="1" s="205">
      <c r="A21" s="250" t="inlineStr">
        <is>
          <t>Оборудование</t>
        </is>
      </c>
      <c r="B21" s="320" t="n"/>
      <c r="C21" s="320" t="n"/>
      <c r="D21" s="321" t="n"/>
      <c r="E21" s="170" t="n"/>
      <c r="F21" s="171" t="n"/>
      <c r="G21" s="165" t="n"/>
      <c r="H21" s="182" t="n"/>
      <c r="I21" s="169" t="n"/>
    </row>
    <row r="22" ht="15" customHeight="1" s="205">
      <c r="A22" s="249" t="inlineStr">
        <is>
          <t>Материалы</t>
        </is>
      </c>
      <c r="B22" s="320" t="n"/>
      <c r="C22" s="320" t="n"/>
      <c r="D22" s="321" t="n"/>
      <c r="E22" s="176" t="n"/>
      <c r="F22" s="176" t="n"/>
      <c r="G22" s="163" t="n"/>
      <c r="H22" s="181">
        <f>SUM(H23:H44)</f>
        <v/>
      </c>
    </row>
    <row r="23" ht="26.45" customHeight="1" s="205">
      <c r="A23" s="260">
        <f>A20+1</f>
        <v/>
      </c>
      <c r="B23" s="144" t="n"/>
      <c r="C23" s="144" t="inlineStr">
        <is>
          <t>Прайс из СД ОП</t>
        </is>
      </c>
      <c r="D23" s="259" t="inlineStr">
        <is>
          <t>Изоляторы линейные подвесные стеклянные ПСВ-210А</t>
        </is>
      </c>
      <c r="E23" s="260" t="inlineStr">
        <is>
          <t>шт</t>
        </is>
      </c>
      <c r="F23" s="185" t="n">
        <v>123</v>
      </c>
      <c r="G23" s="262" t="n">
        <v>273.62</v>
      </c>
      <c r="H23" s="32">
        <f>ROUND(F23*G23,2)</f>
        <v/>
      </c>
      <c r="I23" s="169" t="n"/>
    </row>
    <row r="24">
      <c r="A24" s="260">
        <f>A23+1</f>
        <v/>
      </c>
      <c r="B24" s="144" t="n"/>
      <c r="C24" s="261" t="inlineStr">
        <is>
          <t>22.2.02.04-0027</t>
        </is>
      </c>
      <c r="D24" s="259" t="inlineStr">
        <is>
          <t>Звено промежуточное ПТР-16-1</t>
        </is>
      </c>
      <c r="E24" s="260" t="inlineStr">
        <is>
          <t>шт</t>
        </is>
      </c>
      <c r="F24" s="185" t="n">
        <v>10</v>
      </c>
      <c r="G24" s="262" t="n">
        <v>545.72</v>
      </c>
      <c r="H24" s="32">
        <f>ROUND(F24*G24,2)</f>
        <v/>
      </c>
      <c r="I24" s="169" t="n"/>
    </row>
    <row r="25">
      <c r="A25" s="260">
        <f>A24+1</f>
        <v/>
      </c>
      <c r="B25" s="144" t="n"/>
      <c r="C25" s="217" t="inlineStr">
        <is>
          <t>20.5.04.04-0014</t>
        </is>
      </c>
      <c r="D25" s="218" t="inlineStr">
        <is>
          <t>Зажим натяжной НАС-450-1</t>
        </is>
      </c>
      <c r="E25" s="260" t="inlineStr">
        <is>
          <t>шт</t>
        </is>
      </c>
      <c r="F25" s="260" t="n">
        <v>5</v>
      </c>
      <c r="G25" s="262" t="n">
        <v>218.69</v>
      </c>
      <c r="H25" s="32">
        <f>ROUND(F25*G25,2)</f>
        <v/>
      </c>
      <c r="I25" s="169" t="n"/>
    </row>
    <row r="26">
      <c r="A26" s="260">
        <f>A25+1</f>
        <v/>
      </c>
      <c r="B26" s="144" t="n"/>
      <c r="C26" s="144" t="inlineStr">
        <is>
          <t>20.2.02.06-0005</t>
        </is>
      </c>
      <c r="D26" s="259" t="inlineStr">
        <is>
          <t>Экран защитный: ЭЗ-750-1А</t>
        </is>
      </c>
      <c r="E26" s="260" t="inlineStr">
        <is>
          <t>шт</t>
        </is>
      </c>
      <c r="F26" s="260" t="n">
        <v>3</v>
      </c>
      <c r="G26" s="262" t="n">
        <v>1569.14</v>
      </c>
      <c r="H26" s="32">
        <f>ROUND(F26*G26,2)</f>
        <v/>
      </c>
      <c r="I26" s="169" t="n"/>
    </row>
    <row r="27">
      <c r="A27" s="260">
        <f>A26+1</f>
        <v/>
      </c>
      <c r="B27" s="144" t="n"/>
      <c r="C27" s="144" t="inlineStr">
        <is>
          <t>22.2.02.04-0036</t>
        </is>
      </c>
      <c r="D27" s="259" t="inlineStr">
        <is>
          <t>Звено промежуточное регулируемое ПРР-12-1</t>
        </is>
      </c>
      <c r="E27" s="260" t="inlineStr">
        <is>
          <t>шт</t>
        </is>
      </c>
      <c r="F27" s="260" t="n">
        <v>13</v>
      </c>
      <c r="G27" s="262" t="n">
        <v>193.24</v>
      </c>
      <c r="H27" s="32">
        <f>ROUND(F27*G27,2)</f>
        <v/>
      </c>
      <c r="I27" s="169" t="n"/>
    </row>
    <row r="28">
      <c r="A28" s="260">
        <f>A27+1</f>
        <v/>
      </c>
      <c r="B28" s="144" t="n"/>
      <c r="C28" s="144" t="inlineStr">
        <is>
          <t>20.1.02.22-0026</t>
        </is>
      </c>
      <c r="D28" s="259" t="inlineStr">
        <is>
          <t>Ушко: У-16-20</t>
        </is>
      </c>
      <c r="E28" s="260" t="inlineStr">
        <is>
          <t>шт</t>
        </is>
      </c>
      <c r="F28" s="260" t="n">
        <v>10</v>
      </c>
      <c r="G28" s="262" t="n">
        <v>220.79</v>
      </c>
      <c r="H28" s="32">
        <f>ROUND(F28*G28,2)</f>
        <v/>
      </c>
      <c r="I28" s="169" t="n"/>
    </row>
    <row r="29" ht="38.25" customHeight="1" s="205">
      <c r="A29" s="260">
        <f>A28+1</f>
        <v/>
      </c>
      <c r="B29" s="144" t="n"/>
      <c r="C29" s="144" t="inlineStr">
        <is>
          <t>20.2.09.10-0027</t>
        </is>
      </c>
      <c r="D29" s="259" t="inlineStr">
        <is>
          <t>Муфта защитная МПР-400-1 (прим. Муфта предохранительная МПР-300-1_x000D_
)</t>
        </is>
      </c>
      <c r="E29" s="260" t="inlineStr">
        <is>
          <t>шт</t>
        </is>
      </c>
      <c r="F29" s="260" t="n">
        <v>3</v>
      </c>
      <c r="G29" s="262" t="n">
        <v>576.48</v>
      </c>
      <c r="H29" s="32">
        <f>ROUND(F29*G29,2)</f>
        <v/>
      </c>
      <c r="I29" s="169" t="n"/>
    </row>
    <row r="30">
      <c r="A30" s="260">
        <f>A29+1</f>
        <v/>
      </c>
      <c r="B30" s="144" t="n"/>
      <c r="C30" s="144" t="inlineStr">
        <is>
          <t>01.7.15.10-0034</t>
        </is>
      </c>
      <c r="D30" s="259" t="inlineStr">
        <is>
          <t>Скобы СК-16-1А</t>
        </is>
      </c>
      <c r="E30" s="260" t="inlineStr">
        <is>
          <t>шт</t>
        </is>
      </c>
      <c r="F30" s="260" t="n">
        <v>20</v>
      </c>
      <c r="G30" s="262" t="n">
        <v>70.76000000000001</v>
      </c>
      <c r="H30" s="32">
        <f>ROUND(F30*G30,2)</f>
        <v/>
      </c>
      <c r="I30" s="169" t="n"/>
    </row>
    <row r="31">
      <c r="A31" s="260">
        <f>A30+1</f>
        <v/>
      </c>
      <c r="B31" s="144" t="n"/>
      <c r="C31" s="144" t="inlineStr">
        <is>
          <t>22.2.02.04-0038</t>
        </is>
      </c>
      <c r="D31" s="259" t="inlineStr">
        <is>
          <t>Звено промежуточное регулируемое ПРР-16-1</t>
        </is>
      </c>
      <c r="E31" s="260" t="inlineStr">
        <is>
          <t>шт</t>
        </is>
      </c>
      <c r="F31" s="260" t="n">
        <v>5</v>
      </c>
      <c r="G31" s="262" t="n">
        <v>228.79</v>
      </c>
      <c r="H31" s="32">
        <f>ROUND(F31*G31,2)</f>
        <v/>
      </c>
      <c r="I31" s="169" t="n"/>
    </row>
    <row r="32">
      <c r="A32" s="260">
        <f>A31+1</f>
        <v/>
      </c>
      <c r="B32" s="144" t="n"/>
      <c r="C32" s="144" t="inlineStr">
        <is>
          <t>20.1.02.21-0033</t>
        </is>
      </c>
      <c r="D32" s="259" t="inlineStr">
        <is>
          <t>Узел крепления КГ-16-1</t>
        </is>
      </c>
      <c r="E32" s="260" t="inlineStr">
        <is>
          <t>шт</t>
        </is>
      </c>
      <c r="F32" s="260" t="n">
        <v>5</v>
      </c>
      <c r="G32" s="262" t="n">
        <v>219.48</v>
      </c>
      <c r="H32" s="32">
        <f>ROUND(F32*G32,2)</f>
        <v/>
      </c>
      <c r="I32" s="169" t="n"/>
    </row>
    <row r="33">
      <c r="A33" s="260">
        <f>A32+1</f>
        <v/>
      </c>
      <c r="B33" s="144" t="n"/>
      <c r="C33" s="144" t="inlineStr">
        <is>
          <t>20.1.02.21-0092</t>
        </is>
      </c>
      <c r="D33" s="259" t="inlineStr">
        <is>
          <t>Узел крепления экрана УКЭ-17</t>
        </is>
      </c>
      <c r="E33" s="260" t="inlineStr">
        <is>
          <t>шт</t>
        </is>
      </c>
      <c r="F33" s="260" t="n">
        <v>1</v>
      </c>
      <c r="G33" s="262" t="n">
        <v>976.76</v>
      </c>
      <c r="H33" s="32">
        <f>ROUND(F33*G33,2)</f>
        <v/>
      </c>
      <c r="I33" s="169" t="n"/>
    </row>
    <row r="34" ht="25.5" customHeight="1" s="205">
      <c r="A34" s="260">
        <f>A33+1</f>
        <v/>
      </c>
      <c r="B34" s="144" t="n"/>
      <c r="C34" s="144" t="inlineStr">
        <is>
          <t>22.2.02.04-0032</t>
        </is>
      </c>
      <c r="D34" s="259" t="inlineStr">
        <is>
          <t>Звено промежуточное регулируемое двойное 2ПРР-16-2</t>
        </is>
      </c>
      <c r="E34" s="260" t="inlineStr">
        <is>
          <t>шт</t>
        </is>
      </c>
      <c r="F34" s="260" t="n">
        <v>5</v>
      </c>
      <c r="G34" s="262" t="n">
        <v>164.71</v>
      </c>
      <c r="H34" s="32">
        <f>ROUND(F34*G34,2)</f>
        <v/>
      </c>
      <c r="I34" s="169" t="n"/>
    </row>
    <row r="35">
      <c r="A35" s="260">
        <f>A34+1</f>
        <v/>
      </c>
      <c r="B35" s="144" t="n"/>
      <c r="C35" s="144" t="inlineStr">
        <is>
          <t>22.2.02.04-0012</t>
        </is>
      </c>
      <c r="D35" s="259" t="inlineStr">
        <is>
          <t>Звено промежуточное монтажное ПТМ-16-3</t>
        </is>
      </c>
      <c r="E35" s="260" t="inlineStr">
        <is>
          <t>шт</t>
        </is>
      </c>
      <c r="F35" s="260" t="n">
        <v>5</v>
      </c>
      <c r="G35" s="262" t="n">
        <v>148.2</v>
      </c>
      <c r="H35" s="32">
        <f>ROUND(F35*G35,2)</f>
        <v/>
      </c>
      <c r="I35" s="169" t="n"/>
    </row>
    <row r="36">
      <c r="A36" s="260">
        <f>A35+1</f>
        <v/>
      </c>
      <c r="B36" s="144" t="n"/>
      <c r="C36" s="144" t="inlineStr">
        <is>
          <t>22.2.02.04-0023</t>
        </is>
      </c>
      <c r="D36" s="259" t="inlineStr">
        <is>
          <t>Звено промежуточное прямое ПР-16-6</t>
        </is>
      </c>
      <c r="E36" s="260" t="inlineStr">
        <is>
          <t>шт</t>
        </is>
      </c>
      <c r="F36" s="260" t="n">
        <v>10</v>
      </c>
      <c r="G36" s="262" t="n">
        <v>60.08</v>
      </c>
      <c r="H36" s="32">
        <f>ROUND(F36*G36,2)</f>
        <v/>
      </c>
      <c r="I36" s="169" t="n"/>
    </row>
    <row r="37">
      <c r="A37" s="260">
        <f>A36+1</f>
        <v/>
      </c>
      <c r="B37" s="144" t="n"/>
      <c r="C37" s="144" t="inlineStr">
        <is>
          <t>20.1.02.05-0006</t>
        </is>
      </c>
      <c r="D37" s="259" t="inlineStr">
        <is>
          <t>Коромысло: 2КЛ-12/16-1</t>
        </is>
      </c>
      <c r="E37" s="260" t="inlineStr">
        <is>
          <t>шт</t>
        </is>
      </c>
      <c r="F37" s="260" t="n">
        <v>1</v>
      </c>
      <c r="G37" s="262" t="n">
        <v>539.29</v>
      </c>
      <c r="H37" s="32">
        <f>ROUND(F37*G37,2)</f>
        <v/>
      </c>
      <c r="I37" s="169" t="n"/>
    </row>
    <row r="38">
      <c r="A38" s="260">
        <f>A37+1</f>
        <v/>
      </c>
      <c r="B38" s="144" t="n"/>
      <c r="C38" s="144" t="inlineStr">
        <is>
          <t>22.2.02.04-0009</t>
        </is>
      </c>
      <c r="D38" s="259" t="inlineStr">
        <is>
          <t>Звено промежуточное монтажное ПТМ-12-3</t>
        </is>
      </c>
      <c r="E38" s="260" t="inlineStr">
        <is>
          <t>шт</t>
        </is>
      </c>
      <c r="F38" s="260" t="n">
        <v>5</v>
      </c>
      <c r="G38" s="262" t="n">
        <v>103.63</v>
      </c>
      <c r="H38" s="32">
        <f>ROUND(F38*G38,2)</f>
        <v/>
      </c>
      <c r="I38" s="169" t="n"/>
    </row>
    <row r="39">
      <c r="A39" s="260">
        <f>A38+1</f>
        <v/>
      </c>
      <c r="B39" s="144" t="n"/>
      <c r="C39" s="144" t="inlineStr">
        <is>
          <t>22.2.02.04-0047</t>
        </is>
      </c>
      <c r="D39" s="259" t="inlineStr">
        <is>
          <t>Звено промежуточное трехлапчатое ПРТ-12/16-2</t>
        </is>
      </c>
      <c r="E39" s="260" t="inlineStr">
        <is>
          <t>шт</t>
        </is>
      </c>
      <c r="F39" s="260" t="n">
        <v>5</v>
      </c>
      <c r="G39" s="262" t="n">
        <v>66.12</v>
      </c>
      <c r="H39" s="32">
        <f>ROUND(F39*G39,2)</f>
        <v/>
      </c>
      <c r="I39" s="169" t="n"/>
    </row>
    <row r="40">
      <c r="A40" s="260">
        <f>A39+1</f>
        <v/>
      </c>
      <c r="B40" s="144" t="n"/>
      <c r="C40" s="144" t="inlineStr">
        <is>
          <t>22.2.02.04-0003</t>
        </is>
      </c>
      <c r="D40" s="259" t="inlineStr">
        <is>
          <t>Звено промежуточное вывернутое ПРВ-16-1</t>
        </is>
      </c>
      <c r="E40" s="260" t="inlineStr">
        <is>
          <t>шт</t>
        </is>
      </c>
      <c r="F40" s="260" t="n">
        <v>5</v>
      </c>
      <c r="G40" s="262" t="n">
        <v>63.58</v>
      </c>
      <c r="H40" s="32">
        <f>ROUND(F40*G40,2)</f>
        <v/>
      </c>
      <c r="I40" s="169" t="n"/>
    </row>
    <row r="41">
      <c r="A41" s="260">
        <f>A40+1</f>
        <v/>
      </c>
      <c r="B41" s="144" t="n"/>
      <c r="C41" s="144" t="inlineStr">
        <is>
          <t>20.1.02.14-0005</t>
        </is>
      </c>
      <c r="D41" s="259" t="inlineStr">
        <is>
          <t>Серьга СР-16-20</t>
        </is>
      </c>
      <c r="E41" s="260" t="inlineStr">
        <is>
          <t>шт</t>
        </is>
      </c>
      <c r="F41" s="260" t="n">
        <v>10</v>
      </c>
      <c r="G41" s="262" t="n">
        <v>21.5</v>
      </c>
      <c r="H41" s="32">
        <f>ROUND(F41*G41,2)</f>
        <v/>
      </c>
      <c r="I41" s="169" t="n"/>
    </row>
    <row r="42">
      <c r="A42" s="260">
        <f>A41+1</f>
        <v/>
      </c>
      <c r="B42" s="144" t="n"/>
      <c r="C42" s="144" t="inlineStr">
        <is>
          <t>22.2.02.04-0022</t>
        </is>
      </c>
      <c r="D42" s="259" t="inlineStr">
        <is>
          <t>Звено промежуточное прямое ПР-12-6</t>
        </is>
      </c>
      <c r="E42" s="260" t="inlineStr">
        <is>
          <t>шт</t>
        </is>
      </c>
      <c r="F42" s="260" t="n">
        <v>5</v>
      </c>
      <c r="G42" s="262" t="n">
        <v>42.05</v>
      </c>
      <c r="H42" s="32">
        <f>ROUND(F42*G42,2)</f>
        <v/>
      </c>
      <c r="I42" s="169" t="n"/>
    </row>
    <row r="43" ht="25.5" customHeight="1" s="205">
      <c r="A43" s="260">
        <f>A42+1</f>
        <v/>
      </c>
      <c r="B43" s="144" t="n"/>
      <c r="C43" s="144" t="inlineStr">
        <is>
          <t>20.2.03.15-0001</t>
        </is>
      </c>
      <c r="D43" s="259" t="inlineStr">
        <is>
          <t>Распорка усиленная сейсмостойкая РПУ-4, из оцинкованной стали</t>
        </is>
      </c>
      <c r="E43" s="260" t="inlineStr">
        <is>
          <t>шт</t>
        </is>
      </c>
      <c r="F43" s="260" t="n">
        <v>1</v>
      </c>
      <c r="G43" s="262" t="n">
        <v>42.04</v>
      </c>
      <c r="H43" s="32">
        <f>ROUND(F43*G43,2)</f>
        <v/>
      </c>
      <c r="I43" s="169" t="n"/>
    </row>
    <row r="44" ht="25.5" customHeight="1" s="205">
      <c r="A44" s="260">
        <f>A43+1</f>
        <v/>
      </c>
      <c r="B44" s="144" t="n"/>
      <c r="C44" s="144" t="inlineStr">
        <is>
          <t>999-9950</t>
        </is>
      </c>
      <c r="D44" s="259" t="inlineStr">
        <is>
          <t>Вспомогательные ненормируемые ресурсы (2% от Оплаты труда рабочих)</t>
        </is>
      </c>
      <c r="E44" s="260" t="inlineStr">
        <is>
          <t>руб</t>
        </is>
      </c>
      <c r="F44" s="260" t="n">
        <v>8.949999999999999</v>
      </c>
      <c r="G44" s="262" t="n">
        <v>1</v>
      </c>
      <c r="H44" s="32">
        <f>ROUND(F44*G44,2)</f>
        <v/>
      </c>
      <c r="I44" s="169" t="n"/>
    </row>
    <row r="45">
      <c r="C45" s="159" t="n"/>
      <c r="D45" s="157" t="n"/>
      <c r="E45" s="158" t="n"/>
      <c r="F45" s="158" t="n"/>
      <c r="G45" s="160" t="n"/>
      <c r="H45" s="175" t="n"/>
    </row>
    <row r="46" ht="25.5" customHeight="1" s="205">
      <c r="B46" s="172" t="inlineStr">
        <is>
          <t xml:space="preserve">Примечание: </t>
        </is>
      </c>
      <c r="C46" s="2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7">
      <c r="I47" s="173" t="n"/>
    </row>
    <row r="50" s="205">
      <c r="B50" s="206" t="inlineStr">
        <is>
          <t>Составил ______________________        А.Р. Маркова</t>
        </is>
      </c>
      <c r="C50" s="215" t="n"/>
    </row>
    <row r="51" s="205">
      <c r="B51" s="216" t="inlineStr">
        <is>
          <t xml:space="preserve">                         (подпись, инициалы, фамилия)</t>
        </is>
      </c>
      <c r="C51" s="215" t="n"/>
    </row>
    <row r="52" s="205">
      <c r="B52" s="206" t="n"/>
      <c r="C52" s="215" t="n"/>
    </row>
    <row r="53" s="205">
      <c r="B53" s="206" t="inlineStr">
        <is>
          <t>Проверил ______________________        А.В. Костянецкая</t>
        </is>
      </c>
      <c r="C53" s="215" t="n"/>
    </row>
    <row r="54" s="205">
      <c r="B54" s="216" t="inlineStr">
        <is>
          <t xml:space="preserve">                        (подпись, инициалы, фамилия)</t>
        </is>
      </c>
      <c r="C54" s="215" t="n"/>
    </row>
  </sheetData>
  <mergeCells count="17">
    <mergeCell ref="C9:C10"/>
    <mergeCell ref="C46:H46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1:D21"/>
    <mergeCell ref="A3:I3"/>
    <mergeCell ref="A16:D16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A43" sqref="A43:XFD47"/>
    </sheetView>
  </sheetViews>
  <sheetFormatPr baseColWidth="8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9.140625" customWidth="1" style="205" min="6" max="6"/>
    <col width="12.85546875" customWidth="1" style="205" min="7" max="7"/>
    <col width="9.140625" customWidth="1" style="205" min="8" max="11"/>
    <col width="13.5703125" customWidth="1" style="205" min="12" max="12"/>
    <col width="9.140625" customWidth="1" style="205" min="13" max="13"/>
  </cols>
  <sheetData>
    <row r="1">
      <c r="B1" s="206" t="n"/>
      <c r="C1" s="206" t="n"/>
      <c r="D1" s="206" t="n"/>
      <c r="E1" s="206" t="n"/>
    </row>
    <row r="2">
      <c r="B2" s="206" t="n"/>
      <c r="C2" s="206" t="n"/>
      <c r="D2" s="206" t="n"/>
      <c r="E2" s="270" t="inlineStr">
        <is>
          <t>Приложение № 4</t>
        </is>
      </c>
    </row>
    <row r="3">
      <c r="B3" s="206" t="n"/>
      <c r="C3" s="206" t="n"/>
      <c r="D3" s="206" t="n"/>
      <c r="E3" s="206" t="n"/>
    </row>
    <row r="4">
      <c r="B4" s="206" t="n"/>
      <c r="C4" s="206" t="n"/>
      <c r="D4" s="206" t="n"/>
      <c r="E4" s="206" t="n"/>
    </row>
    <row r="5">
      <c r="B5" s="229" t="inlineStr">
        <is>
          <t>Ресурсная модель</t>
        </is>
      </c>
    </row>
    <row r="6">
      <c r="B6" s="197" t="n"/>
      <c r="C6" s="206" t="n"/>
      <c r="D6" s="206" t="n"/>
      <c r="E6" s="206" t="n"/>
    </row>
    <row r="7" ht="25.5" customHeight="1" s="205">
      <c r="B7" s="257" t="inlineStr">
        <is>
          <t>Наименование разрабатываемого показателя УНЦ - Гирлянды изоляторов ВЛ напряжение 750 кВ</t>
        </is>
      </c>
    </row>
    <row r="8">
      <c r="B8" s="258" t="inlineStr">
        <is>
          <t>Единица измерения  — 1 км ВЛ</t>
        </is>
      </c>
    </row>
    <row r="9">
      <c r="B9" s="197" t="n"/>
      <c r="C9" s="206" t="n"/>
      <c r="D9" s="206" t="n"/>
      <c r="E9" s="206" t="n"/>
    </row>
    <row r="10" ht="51" customHeight="1" s="205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8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8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8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8">
        <f>'Прил.5 Расчет СМР и ОБ'!J58</f>
        <v/>
      </c>
      <c r="D17" s="27">
        <f>C17/$C$24</f>
        <v/>
      </c>
      <c r="E17" s="27">
        <f>C17/$C$40</f>
        <v/>
      </c>
      <c r="G17" s="199" t="n"/>
    </row>
    <row r="18">
      <c r="B18" s="25" t="inlineStr">
        <is>
          <t>МАТЕРИАЛЫ, ВСЕГО:</t>
        </is>
      </c>
      <c r="C18" s="19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ОБ'!D61</f>
        <v/>
      </c>
      <c r="D23" s="27" t="n"/>
      <c r="E23" s="25" t="n"/>
    </row>
    <row r="24">
      <c r="B24" s="25" t="inlineStr">
        <is>
          <t>ВСЕГО СМР с НР и СП</t>
        </is>
      </c>
      <c r="C24" s="198">
        <f>C19+C20+C22</f>
        <v/>
      </c>
      <c r="D24" s="27">
        <f>C24/$C$24</f>
        <v/>
      </c>
      <c r="E24" s="27">
        <f>C24/$C$40</f>
        <v/>
      </c>
    </row>
    <row r="25" ht="25.5" customHeight="1" s="205">
      <c r="B25" s="25" t="inlineStr">
        <is>
          <t>ВСЕГО стоимость оборудования, в том числе</t>
        </is>
      </c>
      <c r="C25" s="198">
        <f>'Прил.5 Расчет СМР и ОБ'!J31</f>
        <v/>
      </c>
      <c r="D25" s="27" t="n"/>
      <c r="E25" s="27">
        <f>C25/$C$40</f>
        <v/>
      </c>
    </row>
    <row r="26" ht="25.5" customHeight="1" s="205">
      <c r="B26" s="25" t="inlineStr">
        <is>
          <t>стоимость оборудования технологического</t>
        </is>
      </c>
      <c r="C26" s="19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5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5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205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>
        <f>C30/$C$40</f>
        <v/>
      </c>
    </row>
    <row r="31" ht="25.5" customHeight="1" s="205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5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 s="205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 s="205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 s="205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 s="205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4" t="n"/>
      <c r="L36" s="20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4" t="n"/>
      <c r="L37" s="200" t="n"/>
    </row>
    <row r="38" ht="38.25" customHeight="1" s="205">
      <c r="B38" s="25" t="inlineStr">
        <is>
          <t>ИТОГО (СМР+ОБОРУДОВАНИЕ+ПРОЧ. ЗАТР., УЧТЕННЫЕ ПОКАЗАТЕЛЕМ)</t>
        </is>
      </c>
      <c r="C38" s="198">
        <f>C27+C32+C33+C34+C35+C29+C31+C30+C36+C37</f>
        <v/>
      </c>
      <c r="D38" s="25" t="n"/>
      <c r="E38" s="27">
        <f>C38/$C$40</f>
        <v/>
      </c>
    </row>
    <row r="39" ht="13.5" customHeight="1" s="205">
      <c r="B39" s="25" t="inlineStr">
        <is>
          <t>Непредвиденные расходы</t>
        </is>
      </c>
      <c r="C39" s="19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8">
        <f>C40/'Прил.5 Расчет СМР и ОБ'!E65</f>
        <v/>
      </c>
      <c r="D41" s="25" t="n"/>
      <c r="E41" s="25" t="n"/>
    </row>
    <row r="42">
      <c r="B42" s="201" t="n"/>
      <c r="C42" s="206" t="n"/>
      <c r="D42" s="206" t="n"/>
      <c r="E42" s="206" t="n"/>
    </row>
    <row r="43" s="205">
      <c r="B43" s="206" t="inlineStr">
        <is>
          <t>Составил ______________________        А.Р. Маркова</t>
        </is>
      </c>
      <c r="C43" s="215" t="n"/>
    </row>
    <row r="44" s="205">
      <c r="B44" s="216" t="inlineStr">
        <is>
          <t xml:space="preserve">                         (подпись, инициалы, фамилия)</t>
        </is>
      </c>
      <c r="C44" s="215" t="n"/>
    </row>
    <row r="45" s="205">
      <c r="B45" s="206" t="n"/>
      <c r="C45" s="215" t="n"/>
    </row>
    <row r="46" s="205">
      <c r="B46" s="206" t="inlineStr">
        <is>
          <t>Проверил ______________________        А.В. Костянецкая</t>
        </is>
      </c>
      <c r="C46" s="215" t="n"/>
    </row>
    <row r="47" s="205">
      <c r="B47" s="216" t="inlineStr">
        <is>
          <t xml:space="preserve">                        (подпись, инициалы, фамилия)</t>
        </is>
      </c>
      <c r="C47" s="215" t="n"/>
    </row>
    <row r="49">
      <c r="B49" s="206" t="n"/>
      <c r="C49" s="206" t="n"/>
      <c r="D49" s="206" t="n"/>
      <c r="E49" s="206" t="n"/>
    </row>
    <row r="50">
      <c r="B50" s="206" t="n"/>
      <c r="C50" s="206" t="n"/>
      <c r="D50" s="206" t="n"/>
      <c r="E50" s="20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1"/>
  <sheetViews>
    <sheetView view="pageBreakPreview" topLeftCell="A55" workbookViewId="0">
      <selection activeCell="A67" sqref="A67:XFD71"/>
    </sheetView>
  </sheetViews>
  <sheetFormatPr baseColWidth="8" defaultColWidth="9.140625" defaultRowHeight="15" outlineLevelRow="1"/>
  <cols>
    <col width="5.7109375" customWidth="1" style="215" min="1" max="1"/>
    <col width="22.5703125" customWidth="1" style="215" min="2" max="2"/>
    <col width="39.140625" customWidth="1" style="215" min="3" max="3"/>
    <col width="12.7109375" customWidth="1" style="215" min="4" max="5"/>
    <col width="14.5703125" customWidth="1" style="215" min="6" max="6"/>
    <col width="13.42578125" customWidth="1" style="215" min="7" max="7"/>
    <col width="12.7109375" customWidth="1" style="215" min="8" max="8"/>
    <col width="13.85546875" customWidth="1" style="215" min="9" max="9"/>
    <col width="17.5703125" customWidth="1" style="215" min="10" max="10"/>
    <col width="10.85546875" customWidth="1" style="215" min="11" max="11"/>
    <col width="9.140625" customWidth="1" style="215" min="12" max="12"/>
  </cols>
  <sheetData>
    <row r="1">
      <c r="M1" s="215" t="n"/>
      <c r="N1" s="215" t="n"/>
    </row>
    <row r="2" ht="15.75" customHeight="1" s="205">
      <c r="H2" s="265" t="inlineStr">
        <is>
          <t>Приложение №5</t>
        </is>
      </c>
      <c r="M2" s="215" t="n"/>
      <c r="N2" s="215" t="n"/>
    </row>
    <row r="3">
      <c r="M3" s="215" t="n"/>
      <c r="N3" s="215" t="n"/>
    </row>
    <row r="4" ht="12.75" customFormat="1" customHeight="1" s="206">
      <c r="A4" s="229" t="inlineStr">
        <is>
          <t>Расчет стоимости СМР и оборудования</t>
        </is>
      </c>
    </row>
    <row r="5" ht="12.75" customFormat="1" customHeight="1" s="206">
      <c r="A5" s="229" t="n"/>
      <c r="B5" s="229" t="n"/>
      <c r="C5" s="277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206">
      <c r="A6" s="232" t="inlineStr">
        <is>
          <t>Наименование разрабатываемого показателя УНЦ</t>
        </is>
      </c>
      <c r="D6" s="232" t="inlineStr">
        <is>
          <t>Гирлянды изоляторов ВЛ напряжение 750 кВ</t>
        </is>
      </c>
    </row>
    <row r="7" ht="12.75" customFormat="1" customHeight="1" s="206">
      <c r="A7" s="232" t="inlineStr">
        <is>
          <t>Единица измерения  — 1 км ВЛ</t>
        </is>
      </c>
      <c r="I7" s="257" t="n"/>
      <c r="J7" s="257" t="n"/>
    </row>
    <row r="8" ht="13.5" customFormat="1" customHeight="1" s="206">
      <c r="A8" s="232" t="n"/>
    </row>
    <row r="9" ht="13.15" customFormat="1" customHeight="1" s="206"/>
    <row r="10" ht="27" customHeight="1" s="205">
      <c r="A10" s="260" t="inlineStr">
        <is>
          <t>№ пп.</t>
        </is>
      </c>
      <c r="B10" s="260" t="inlineStr">
        <is>
          <t>Код ресурса</t>
        </is>
      </c>
      <c r="C10" s="260" t="inlineStr">
        <is>
          <t>Наименование</t>
        </is>
      </c>
      <c r="D10" s="260" t="inlineStr">
        <is>
          <t>Ед. изм.</t>
        </is>
      </c>
      <c r="E10" s="260" t="inlineStr">
        <is>
          <t>Кол-во единиц по проектным данным</t>
        </is>
      </c>
      <c r="F10" s="260" t="inlineStr">
        <is>
          <t>Сметная стоимость в ценах на 01.01.2000 (руб.)</t>
        </is>
      </c>
      <c r="G10" s="321" t="n"/>
      <c r="H10" s="260" t="inlineStr">
        <is>
          <t>Удельный вес, %</t>
        </is>
      </c>
      <c r="I10" s="260" t="inlineStr">
        <is>
          <t>Сметная стоимость в ценах на 01.01.2023 (руб.)</t>
        </is>
      </c>
      <c r="J10" s="321" t="n"/>
      <c r="M10" s="215" t="n"/>
      <c r="N10" s="215" t="n"/>
    </row>
    <row r="11" ht="28.5" customHeight="1" s="205">
      <c r="A11" s="323" t="n"/>
      <c r="B11" s="323" t="n"/>
      <c r="C11" s="323" t="n"/>
      <c r="D11" s="323" t="n"/>
      <c r="E11" s="323" t="n"/>
      <c r="F11" s="260" t="inlineStr">
        <is>
          <t>на ед. изм.</t>
        </is>
      </c>
      <c r="G11" s="260" t="inlineStr">
        <is>
          <t>общая</t>
        </is>
      </c>
      <c r="H11" s="323" t="n"/>
      <c r="I11" s="260" t="inlineStr">
        <is>
          <t>на ед. изм.</t>
        </is>
      </c>
      <c r="J11" s="260" t="inlineStr">
        <is>
          <t>общая</t>
        </is>
      </c>
      <c r="M11" s="215" t="n"/>
      <c r="N11" s="215" t="n"/>
    </row>
    <row r="12">
      <c r="A12" s="260" t="n">
        <v>1</v>
      </c>
      <c r="B12" s="260" t="n">
        <v>2</v>
      </c>
      <c r="C12" s="260" t="n">
        <v>3</v>
      </c>
      <c r="D12" s="260" t="n">
        <v>4</v>
      </c>
      <c r="E12" s="260" t="n">
        <v>5</v>
      </c>
      <c r="F12" s="260" t="n">
        <v>6</v>
      </c>
      <c r="G12" s="260" t="n">
        <v>7</v>
      </c>
      <c r="H12" s="260" t="n">
        <v>8</v>
      </c>
      <c r="I12" s="268" t="n">
        <v>9</v>
      </c>
      <c r="J12" s="268" t="n">
        <v>10</v>
      </c>
      <c r="M12" s="215" t="n"/>
      <c r="N12" s="215" t="n"/>
    </row>
    <row r="13">
      <c r="A13" s="260" t="n"/>
      <c r="B13" s="264" t="inlineStr">
        <is>
          <t>Затраты труда рабочих-строителей</t>
        </is>
      </c>
      <c r="C13" s="320" t="n"/>
      <c r="D13" s="320" t="n"/>
      <c r="E13" s="320" t="n"/>
      <c r="F13" s="320" t="n"/>
      <c r="G13" s="320" t="n"/>
      <c r="H13" s="321" t="n"/>
      <c r="I13" s="143" t="n"/>
      <c r="J13" s="143" t="n"/>
    </row>
    <row r="14" ht="25.5" customHeight="1" s="205">
      <c r="A14" s="260" t="n">
        <v>1</v>
      </c>
      <c r="B14" s="144" t="inlineStr">
        <is>
          <t>1-4-0</t>
        </is>
      </c>
      <c r="C14" s="259" t="inlineStr">
        <is>
          <t>Затраты труда рабочих-строителей среднего разряда (4,0)</t>
        </is>
      </c>
      <c r="D14" s="260" t="inlineStr">
        <is>
          <t>чел.-ч.</t>
        </is>
      </c>
      <c r="E14" s="184">
        <f>G14/F14</f>
        <v/>
      </c>
      <c r="F14" s="32" t="n">
        <v>9.619999999999999</v>
      </c>
      <c r="G14" s="32">
        <f>SUM(Прил.3!H13:H13)</f>
        <v/>
      </c>
      <c r="H14" s="147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5">
      <c r="A15" s="260" t="n"/>
      <c r="B15" s="260" t="n"/>
      <c r="C15" s="264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184">
        <f>SUM(E14:E14)</f>
        <v/>
      </c>
      <c r="F15" s="32" t="n"/>
      <c r="G15" s="32">
        <f>SUM(G14:G14)</f>
        <v/>
      </c>
      <c r="H15" s="263" t="n">
        <v>1</v>
      </c>
      <c r="I15" s="143" t="n"/>
      <c r="J15" s="32">
        <f>SUM(J14:J14)</f>
        <v/>
      </c>
    </row>
    <row r="16" ht="14.25" customFormat="1" customHeight="1" s="215">
      <c r="A16" s="260" t="n"/>
      <c r="B16" s="259" t="inlineStr">
        <is>
          <t>Затраты труда машинистов</t>
        </is>
      </c>
      <c r="C16" s="320" t="n"/>
      <c r="D16" s="320" t="n"/>
      <c r="E16" s="320" t="n"/>
      <c r="F16" s="320" t="n"/>
      <c r="G16" s="320" t="n"/>
      <c r="H16" s="321" t="n"/>
      <c r="I16" s="143" t="n"/>
      <c r="J16" s="143" t="n"/>
    </row>
    <row r="17" ht="14.25" customFormat="1" customHeight="1" s="215">
      <c r="A17" s="260" t="n">
        <v>2</v>
      </c>
      <c r="B17" s="260" t="n">
        <v>2</v>
      </c>
      <c r="C17" s="259" t="inlineStr">
        <is>
          <t>Затраты труда машинистов</t>
        </is>
      </c>
      <c r="D17" s="260" t="inlineStr">
        <is>
          <t>чел.-ч.</t>
        </is>
      </c>
      <c r="E17" s="145">
        <f>Прил.3!F15</f>
        <v/>
      </c>
      <c r="F17" s="32">
        <f>G17/E17</f>
        <v/>
      </c>
      <c r="G17" s="32">
        <f>Прил.3!H15</f>
        <v/>
      </c>
      <c r="H17" s="263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215">
      <c r="A18" s="260" t="n"/>
      <c r="B18" s="264" t="inlineStr">
        <is>
          <t>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43" t="n"/>
      <c r="J18" s="143" t="n"/>
    </row>
    <row r="19" ht="14.25" customFormat="1" customHeight="1" s="215">
      <c r="A19" s="260" t="n"/>
      <c r="B19" s="259" t="inlineStr">
        <is>
          <t>Основные 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43" t="n"/>
      <c r="J19" s="143" t="n"/>
    </row>
    <row r="20" ht="25.5" customFormat="1" customHeight="1" s="215">
      <c r="A20" s="260" t="n">
        <v>3</v>
      </c>
      <c r="B20" s="144" t="inlineStr">
        <is>
          <t>91.06.03-058</t>
        </is>
      </c>
      <c r="C20" s="259" t="inlineStr">
        <is>
          <t>Лебедки электрические тяговым усилием 156,96 кН (16 т)</t>
        </is>
      </c>
      <c r="D20" s="260" t="inlineStr">
        <is>
          <t>маш.час</t>
        </is>
      </c>
      <c r="E20" s="145" t="n">
        <v>9.9</v>
      </c>
      <c r="F20" s="262" t="n">
        <v>131.44</v>
      </c>
      <c r="G20" s="32">
        <f>ROUND(E20*F20,2)</f>
        <v/>
      </c>
      <c r="H20" s="147">
        <f>G20/$G$26</f>
        <v/>
      </c>
      <c r="I20" s="32">
        <f>ROUND(F20*Прил.10!D12,2)</f>
        <v/>
      </c>
      <c r="J20" s="32">
        <f>ROUND(I20*E20,2)</f>
        <v/>
      </c>
    </row>
    <row r="21" ht="25.5" customFormat="1" customHeight="1" s="215">
      <c r="A21" s="260" t="n">
        <v>4</v>
      </c>
      <c r="B21" s="144" t="inlineStr">
        <is>
          <t>91.05.05-015</t>
        </is>
      </c>
      <c r="C21" s="259" t="inlineStr">
        <is>
          <t>Краны на автомобильном ходу, грузоподъемность 16 т</t>
        </is>
      </c>
      <c r="D21" s="260" t="inlineStr">
        <is>
          <t>маш.час</t>
        </is>
      </c>
      <c r="E21" s="145" t="n">
        <v>2.35</v>
      </c>
      <c r="F21" s="262" t="n">
        <v>115.4</v>
      </c>
      <c r="G21" s="32">
        <f>ROUND(E21*F21,2)</f>
        <v/>
      </c>
      <c r="H21" s="147">
        <f>G21/$G$26</f>
        <v/>
      </c>
      <c r="I21" s="32">
        <f>ROUND(F21*Прил.10!D12,2)</f>
        <v/>
      </c>
      <c r="J21" s="32">
        <f>ROUND(I21*E21,2)</f>
        <v/>
      </c>
    </row>
    <row r="22" ht="14.25" customFormat="1" customHeight="1" s="215">
      <c r="A22" s="260" t="n"/>
      <c r="B22" s="260" t="n"/>
      <c r="C22" s="259" t="inlineStr">
        <is>
          <t>Итого основные машины и механизмы</t>
        </is>
      </c>
      <c r="D22" s="260" t="n"/>
      <c r="E22" s="145" t="n"/>
      <c r="F22" s="32" t="n"/>
      <c r="G22" s="32">
        <f>SUM(G20:G21)</f>
        <v/>
      </c>
      <c r="H22" s="263">
        <f>G22/G26</f>
        <v/>
      </c>
      <c r="I22" s="146" t="n"/>
      <c r="J22" s="32">
        <f>SUM(J20:J21)</f>
        <v/>
      </c>
    </row>
    <row r="23" outlineLevel="1" ht="25.5" customFormat="1" customHeight="1" s="215">
      <c r="A23" s="260" t="n">
        <v>5</v>
      </c>
      <c r="B23" s="144" t="inlineStr">
        <is>
          <t>91.14.02-001</t>
        </is>
      </c>
      <c r="C23" s="259" t="inlineStr">
        <is>
          <t>Автомобили бортовые, грузоподъемность до 5 т</t>
        </is>
      </c>
      <c r="D23" s="260" t="inlineStr">
        <is>
          <t>маш.час</t>
        </is>
      </c>
      <c r="E23" s="145" t="n">
        <v>0.85</v>
      </c>
      <c r="F23" s="262" t="n">
        <v>65.70999999999999</v>
      </c>
      <c r="G23" s="32">
        <f>ROUND(E23*F23,2)</f>
        <v/>
      </c>
      <c r="H23" s="147">
        <f>G23/$G$26</f>
        <v/>
      </c>
      <c r="I23" s="274">
        <f>ROUND(F23*Прил.10!$D$12,2)</f>
        <v/>
      </c>
      <c r="J23" s="32">
        <f>ROUND(I23*E23,2)</f>
        <v/>
      </c>
    </row>
    <row r="24" outlineLevel="1" ht="25.5" customFormat="1" customHeight="1" s="215">
      <c r="A24" s="260" t="n">
        <v>6</v>
      </c>
      <c r="B24" s="144" t="inlineStr">
        <is>
          <t>91.06.06-042</t>
        </is>
      </c>
      <c r="C24" s="259" t="inlineStr">
        <is>
          <t>Подъемники гидравлические, высота подъема 10 м</t>
        </is>
      </c>
      <c r="D24" s="260" t="inlineStr">
        <is>
          <t>маш.час</t>
        </is>
      </c>
      <c r="E24" s="145" t="n">
        <v>1</v>
      </c>
      <c r="F24" s="262" t="n">
        <v>29.6</v>
      </c>
      <c r="G24" s="32">
        <f>ROUND(E24*F24,2)</f>
        <v/>
      </c>
      <c r="H24" s="147">
        <f>G24/$G$26</f>
        <v/>
      </c>
      <c r="I24" s="274">
        <f>ROUND(F24*Прил.10!$D$12,2)</f>
        <v/>
      </c>
      <c r="J24" s="32">
        <f>ROUND(I24*E24,2)</f>
        <v/>
      </c>
    </row>
    <row r="25" ht="14.25" customFormat="1" customHeight="1" s="215">
      <c r="A25" s="260" t="n"/>
      <c r="B25" s="260" t="n"/>
      <c r="C25" s="259" t="inlineStr">
        <is>
          <t>Итого прочие машины и механизмы</t>
        </is>
      </c>
      <c r="D25" s="260" t="n"/>
      <c r="E25" s="261" t="n"/>
      <c r="F25" s="32" t="n"/>
      <c r="G25" s="146">
        <f>SUM(G23:G24)</f>
        <v/>
      </c>
      <c r="H25" s="147">
        <f>G25/G26</f>
        <v/>
      </c>
      <c r="I25" s="32" t="n"/>
      <c r="J25" s="32">
        <f>SUM(J23:J24)</f>
        <v/>
      </c>
    </row>
    <row r="26" ht="25.5" customFormat="1" customHeight="1" s="215">
      <c r="A26" s="260" t="n"/>
      <c r="B26" s="260" t="n"/>
      <c r="C26" s="264" t="inlineStr">
        <is>
          <t>Итого по разделу «Машины и механизмы»</t>
        </is>
      </c>
      <c r="D26" s="260" t="n"/>
      <c r="E26" s="261" t="n"/>
      <c r="F26" s="32" t="n"/>
      <c r="G26" s="32">
        <f>G25+G22</f>
        <v/>
      </c>
      <c r="H26" s="148" t="n">
        <v>1</v>
      </c>
      <c r="I26" s="149" t="n"/>
      <c r="J26" s="150">
        <f>J25+J22</f>
        <v/>
      </c>
    </row>
    <row r="27" ht="30" customHeight="1" s="205">
      <c r="A27" s="260" t="n"/>
      <c r="B27" s="264" t="inlineStr">
        <is>
          <t xml:space="preserve">Оборудование </t>
        </is>
      </c>
      <c r="C27" s="320" t="n"/>
      <c r="D27" s="320" t="n"/>
      <c r="E27" s="320" t="n"/>
      <c r="F27" s="320" t="n"/>
      <c r="G27" s="320" t="n"/>
      <c r="H27" s="320" t="n"/>
      <c r="I27" s="320" t="n"/>
      <c r="J27" s="321" t="n"/>
    </row>
    <row r="28">
      <c r="A28" s="260" t="n"/>
      <c r="B28" s="259" t="inlineStr">
        <is>
          <t>Основное оборудование</t>
        </is>
      </c>
      <c r="C28" s="320" t="n"/>
      <c r="D28" s="320" t="n"/>
      <c r="E28" s="320" t="n"/>
      <c r="F28" s="320" t="n"/>
      <c r="G28" s="320" t="n"/>
      <c r="H28" s="321" t="n"/>
      <c r="I28" s="143" t="n"/>
      <c r="J28" s="143" t="n"/>
    </row>
    <row r="29">
      <c r="A29" s="260" t="n"/>
      <c r="B29" s="260" t="n"/>
      <c r="C29" s="259" t="inlineStr">
        <is>
          <t>Итого основное оборудование</t>
        </is>
      </c>
      <c r="D29" s="260" t="n"/>
      <c r="E29" s="145" t="n"/>
      <c r="F29" s="262" t="n"/>
      <c r="G29" s="32" t="n">
        <v>0</v>
      </c>
      <c r="H29" s="263" t="n">
        <v>0</v>
      </c>
      <c r="I29" s="146" t="n"/>
      <c r="J29" s="32" t="n">
        <v>0</v>
      </c>
    </row>
    <row r="30">
      <c r="A30" s="260" t="n"/>
      <c r="B30" s="260" t="n"/>
      <c r="C30" s="259" t="inlineStr">
        <is>
          <t>Итого прочее оборудование</t>
        </is>
      </c>
      <c r="D30" s="260" t="n"/>
      <c r="E30" s="145" t="n"/>
      <c r="F30" s="262" t="n"/>
      <c r="G30" s="32" t="n">
        <v>0</v>
      </c>
      <c r="H30" s="263" t="n">
        <v>0</v>
      </c>
      <c r="I30" s="146" t="n"/>
      <c r="J30" s="32" t="n">
        <v>0</v>
      </c>
    </row>
    <row r="31">
      <c r="A31" s="260" t="n"/>
      <c r="B31" s="260" t="n"/>
      <c r="C31" s="264" t="inlineStr">
        <is>
          <t>Итого по разделу «Оборудование»</t>
        </is>
      </c>
      <c r="D31" s="260" t="n"/>
      <c r="E31" s="261" t="n"/>
      <c r="F31" s="262" t="n"/>
      <c r="G31" s="32">
        <f>G29+G30</f>
        <v/>
      </c>
      <c r="H31" s="263" t="n">
        <v>0</v>
      </c>
      <c r="I31" s="146" t="n"/>
      <c r="J31" s="32">
        <f>J30+J29</f>
        <v/>
      </c>
    </row>
    <row r="32" ht="25.5" customHeight="1" s="205">
      <c r="A32" s="260" t="n"/>
      <c r="B32" s="260" t="n"/>
      <c r="C32" s="259" t="inlineStr">
        <is>
          <t>в том числе технологическое оборудование</t>
        </is>
      </c>
      <c r="D32" s="260" t="n"/>
      <c r="E32" s="194" t="n"/>
      <c r="F32" s="262" t="n"/>
      <c r="G32" s="32">
        <f>G31</f>
        <v/>
      </c>
      <c r="H32" s="263" t="n"/>
      <c r="I32" s="146" t="n"/>
      <c r="J32" s="32">
        <f>J31</f>
        <v/>
      </c>
    </row>
    <row r="33" ht="41.25" customFormat="1" customHeight="1" s="215">
      <c r="A33" s="260" t="n"/>
      <c r="B33" s="264" t="inlineStr">
        <is>
          <t xml:space="preserve">Материалы  </t>
        </is>
      </c>
      <c r="C33" s="320" t="n"/>
      <c r="D33" s="320" t="n"/>
      <c r="E33" s="320" t="n"/>
      <c r="F33" s="320" t="n"/>
      <c r="G33" s="320" t="n"/>
      <c r="H33" s="320" t="n"/>
      <c r="I33" s="320" t="n"/>
      <c r="J33" s="321" t="n"/>
    </row>
    <row r="34" ht="14.25" customFormat="1" customHeight="1" s="215">
      <c r="A34" s="260" t="n"/>
      <c r="B34" s="259" t="inlineStr">
        <is>
          <t>Основные материалы</t>
        </is>
      </c>
      <c r="C34" s="320" t="n"/>
      <c r="D34" s="320" t="n"/>
      <c r="E34" s="320" t="n"/>
      <c r="F34" s="320" t="n"/>
      <c r="G34" s="320" t="n"/>
      <c r="H34" s="321" t="n"/>
      <c r="I34" s="143" t="n"/>
      <c r="J34" s="143" t="n"/>
    </row>
    <row r="35" ht="14.25" customFormat="1" customHeight="1" s="215">
      <c r="A35" s="260" t="n">
        <v>7</v>
      </c>
      <c r="B35" s="144" t="inlineStr">
        <is>
          <t>БЦ.108_1.22</t>
        </is>
      </c>
      <c r="C35" s="259" t="inlineStr">
        <is>
          <t>Изолятор подвесной стеклянный ПСВ-210</t>
        </is>
      </c>
      <c r="D35" s="260" t="inlineStr">
        <is>
          <t>шт</t>
        </is>
      </c>
      <c r="E35" s="145" t="n">
        <v>310</v>
      </c>
      <c r="F35" s="262">
        <f>ROUND(I35/Прил.10!$D$13,2)</f>
        <v/>
      </c>
      <c r="G35" s="32">
        <f>ROUND(E35*F35,2)</f>
        <v/>
      </c>
      <c r="H35" s="147">
        <f>G35/$G$59</f>
        <v/>
      </c>
      <c r="I35" s="32" t="n">
        <v>3366.32</v>
      </c>
      <c r="J35" s="32">
        <f>ROUND(I35*E35,2)</f>
        <v/>
      </c>
    </row>
    <row r="36" ht="66" customFormat="1" customHeight="1" s="215">
      <c r="A36" s="260" t="n">
        <v>8</v>
      </c>
      <c r="B36" s="144" t="inlineStr">
        <is>
          <t>22.2.02.04-0027</t>
        </is>
      </c>
      <c r="C36" s="259" t="inlineStr">
        <is>
          <t>Звено промежуточное ПТР-16-1</t>
        </is>
      </c>
      <c r="D36" s="260" t="inlineStr">
        <is>
          <t>шт</t>
        </is>
      </c>
      <c r="E36" s="145" t="n">
        <v>10</v>
      </c>
      <c r="F36" s="262" t="n">
        <v>545.72</v>
      </c>
      <c r="G36" s="32">
        <f>ROUND(E36*F36,2)</f>
        <v/>
      </c>
      <c r="H36" s="147">
        <f>G36/$G$59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215">
      <c r="A37" s="260" t="n">
        <v>9</v>
      </c>
      <c r="B37" s="144" t="inlineStr">
        <is>
          <t>20.5.04.04-0014</t>
        </is>
      </c>
      <c r="C37" s="113" t="inlineStr">
        <is>
          <t>Зажим натяжной НАС-450-1</t>
        </is>
      </c>
      <c r="D37" s="268" t="inlineStr">
        <is>
          <t>шт</t>
        </is>
      </c>
      <c r="E37" s="195" t="n">
        <v>5</v>
      </c>
      <c r="F37" s="196" t="n">
        <v>218.69</v>
      </c>
      <c r="G37" s="187">
        <f>ROUND(E37*F37,2)</f>
        <v/>
      </c>
      <c r="H37" s="188">
        <f>G37/$G$59</f>
        <v/>
      </c>
      <c r="I37" s="187">
        <f>ROUND(F37*Прил.10!$D$13,2)</f>
        <v/>
      </c>
      <c r="J37" s="187">
        <f>ROUND(I37*E37,2)</f>
        <v/>
      </c>
    </row>
    <row r="38" ht="14.25" customFormat="1" customHeight="1" s="215">
      <c r="A38" s="260" t="n">
        <v>10</v>
      </c>
      <c r="B38" s="186" t="inlineStr">
        <is>
          <t>20.2.02.06-0005</t>
        </is>
      </c>
      <c r="C38" s="259" t="inlineStr">
        <is>
          <t>Экран защитный: ЭЗ-750-1А</t>
        </is>
      </c>
      <c r="D38" s="260" t="inlineStr">
        <is>
          <t>шт</t>
        </is>
      </c>
      <c r="E38" s="145" t="n">
        <v>3</v>
      </c>
      <c r="F38" s="262" t="n">
        <v>1569.14</v>
      </c>
      <c r="G38" s="32">
        <f>ROUND(E38*F38,2)</f>
        <v/>
      </c>
      <c r="H38" s="147">
        <f>G38/$G$59</f>
        <v/>
      </c>
      <c r="I38" s="32">
        <f>ROUND(F38*Прил.10!$D$13,2)</f>
        <v/>
      </c>
      <c r="J38" s="32">
        <f>ROUND(I38*E38,2)</f>
        <v/>
      </c>
    </row>
    <row r="39" ht="18.75" customFormat="1" customHeight="1" s="215">
      <c r="A39" s="260" t="n"/>
      <c r="B39" s="260" t="n"/>
      <c r="C39" s="189" t="inlineStr">
        <is>
          <t>Итого основные материалы</t>
        </is>
      </c>
      <c r="D39" s="269" t="n"/>
      <c r="E39" s="191" t="n"/>
      <c r="F39" s="192" t="n"/>
      <c r="G39" s="150">
        <f>SUM(G35:G38)</f>
        <v/>
      </c>
      <c r="H39" s="193">
        <f>G39/$G$59</f>
        <v/>
      </c>
      <c r="I39" s="149" t="n"/>
      <c r="J39" s="150">
        <f>SUM(J35:J38)</f>
        <v/>
      </c>
    </row>
    <row r="40" outlineLevel="1" ht="25.5" customFormat="1" customHeight="1" s="215">
      <c r="A40" s="260" t="n">
        <v>11</v>
      </c>
      <c r="B40" s="144" t="inlineStr">
        <is>
          <t>22.2.02.04-0036</t>
        </is>
      </c>
      <c r="C40" s="259" t="inlineStr">
        <is>
          <t>Звено промежуточное регулируемое ПРР-12-1</t>
        </is>
      </c>
      <c r="D40" s="260" t="inlineStr">
        <is>
          <t>шт</t>
        </is>
      </c>
      <c r="E40" s="145" t="n">
        <v>13</v>
      </c>
      <c r="F40" s="262" t="n">
        <v>193.24</v>
      </c>
      <c r="G40" s="32">
        <f>ROUND(E40*F40,2)</f>
        <v/>
      </c>
      <c r="H40" s="147">
        <f>G40/$G$59</f>
        <v/>
      </c>
      <c r="I40" s="32">
        <f>ROUND(F40*Прил.10!$D$13,2)</f>
        <v/>
      </c>
      <c r="J40" s="32">
        <f>ROUND(I40*E40,2)</f>
        <v/>
      </c>
    </row>
    <row r="41" outlineLevel="1" ht="21" customFormat="1" customHeight="1" s="215">
      <c r="A41" s="260" t="n">
        <v>12</v>
      </c>
      <c r="B41" s="144" t="inlineStr">
        <is>
          <t>20.1.02.22-0026</t>
        </is>
      </c>
      <c r="C41" s="259" t="inlineStr">
        <is>
          <t>Ушко: У-16-20</t>
        </is>
      </c>
      <c r="D41" s="260" t="inlineStr">
        <is>
          <t>шт</t>
        </is>
      </c>
      <c r="E41" s="145" t="n">
        <v>10</v>
      </c>
      <c r="F41" s="262" t="n">
        <v>220.79</v>
      </c>
      <c r="G41" s="32">
        <f>ROUND(E41*F41,2)</f>
        <v/>
      </c>
      <c r="H41" s="147">
        <f>G41/$G$59</f>
        <v/>
      </c>
      <c r="I41" s="32">
        <f>ROUND(F41*Прил.10!$D$13,2)</f>
        <v/>
      </c>
      <c r="J41" s="32">
        <f>ROUND(I41*E41,2)</f>
        <v/>
      </c>
    </row>
    <row r="42" outlineLevel="1" ht="38.25" customFormat="1" customHeight="1" s="215">
      <c r="A42" s="260" t="n">
        <v>13</v>
      </c>
      <c r="B42" s="144" t="inlineStr">
        <is>
          <t>20.2.09.10-0027</t>
        </is>
      </c>
      <c r="C42" s="259" t="inlineStr">
        <is>
          <t>Муфта защитная МПР-400-1 (прим. Муфта предохранительная МПР-300-1_x000D_
)</t>
        </is>
      </c>
      <c r="D42" s="260" t="inlineStr">
        <is>
          <t>шт</t>
        </is>
      </c>
      <c r="E42" s="145" t="n">
        <v>3</v>
      </c>
      <c r="F42" s="262" t="n">
        <v>576.48</v>
      </c>
      <c r="G42" s="32">
        <f>ROUND(E42*F42,2)</f>
        <v/>
      </c>
      <c r="H42" s="147">
        <f>G42/$G$59</f>
        <v/>
      </c>
      <c r="I42" s="32">
        <f>ROUND(F42*Прил.10!$D$13,2)</f>
        <v/>
      </c>
      <c r="J42" s="32">
        <f>ROUND(I42*E42,2)</f>
        <v/>
      </c>
    </row>
    <row r="43" outlineLevel="1" ht="14.25" customFormat="1" customHeight="1" s="215">
      <c r="A43" s="260" t="n">
        <v>14</v>
      </c>
      <c r="B43" s="144" t="inlineStr">
        <is>
          <t>01.7.15.10-0034</t>
        </is>
      </c>
      <c r="C43" s="259" t="inlineStr">
        <is>
          <t>Скобы СК-16-1А</t>
        </is>
      </c>
      <c r="D43" s="260" t="inlineStr">
        <is>
          <t>шт</t>
        </is>
      </c>
      <c r="E43" s="145" t="n">
        <v>20</v>
      </c>
      <c r="F43" s="262" t="n">
        <v>70.76000000000001</v>
      </c>
      <c r="G43" s="32">
        <f>ROUND(E43*F43,2)</f>
        <v/>
      </c>
      <c r="H43" s="147">
        <f>G43/$G$59</f>
        <v/>
      </c>
      <c r="I43" s="32">
        <f>ROUND(F43*Прил.10!$D$13,2)</f>
        <v/>
      </c>
      <c r="J43" s="32">
        <f>ROUND(I43*E43,2)</f>
        <v/>
      </c>
    </row>
    <row r="44" outlineLevel="1" ht="25.5" customFormat="1" customHeight="1" s="215">
      <c r="A44" s="260" t="n">
        <v>15</v>
      </c>
      <c r="B44" s="144" t="inlineStr">
        <is>
          <t>22.2.02.04-0038</t>
        </is>
      </c>
      <c r="C44" s="259" t="inlineStr">
        <is>
          <t>Звено промежуточное регулируемое ПРР-16-1</t>
        </is>
      </c>
      <c r="D44" s="260" t="inlineStr">
        <is>
          <t>шт</t>
        </is>
      </c>
      <c r="E44" s="145" t="n">
        <v>5</v>
      </c>
      <c r="F44" s="262" t="n">
        <v>228.79</v>
      </c>
      <c r="G44" s="32">
        <f>ROUND(E44*F44,2)</f>
        <v/>
      </c>
      <c r="H44" s="147">
        <f>G44/$G$59</f>
        <v/>
      </c>
      <c r="I44" s="32">
        <f>ROUND(F44*Прил.10!$D$13,2)</f>
        <v/>
      </c>
      <c r="J44" s="32">
        <f>ROUND(I44*E44,2)</f>
        <v/>
      </c>
    </row>
    <row r="45" outlineLevel="1" ht="14.25" customFormat="1" customHeight="1" s="215">
      <c r="A45" s="260" t="n">
        <v>16</v>
      </c>
      <c r="B45" s="144" t="inlineStr">
        <is>
          <t>20.1.02.21-0033</t>
        </is>
      </c>
      <c r="C45" s="259" t="inlineStr">
        <is>
          <t>Узел крепления КГ-16-1</t>
        </is>
      </c>
      <c r="D45" s="260" t="inlineStr">
        <is>
          <t>шт</t>
        </is>
      </c>
      <c r="E45" s="145" t="n">
        <v>5</v>
      </c>
      <c r="F45" s="262" t="n">
        <v>219.48</v>
      </c>
      <c r="G45" s="32">
        <f>ROUND(E45*F45,2)</f>
        <v/>
      </c>
      <c r="H45" s="147">
        <f>G45/$G$59</f>
        <v/>
      </c>
      <c r="I45" s="32">
        <f>ROUND(F45*Прил.10!$D$13,2)</f>
        <v/>
      </c>
      <c r="J45" s="32">
        <f>ROUND(I45*E45,2)</f>
        <v/>
      </c>
    </row>
    <row r="46" outlineLevel="1" ht="14.25" customFormat="1" customHeight="1" s="215">
      <c r="A46" s="260" t="n">
        <v>17</v>
      </c>
      <c r="B46" s="144" t="inlineStr">
        <is>
          <t>20.1.02.21-0092</t>
        </is>
      </c>
      <c r="C46" s="259" t="inlineStr">
        <is>
          <t>Узел крепления экрана УКЭ-17</t>
        </is>
      </c>
      <c r="D46" s="260" t="inlineStr">
        <is>
          <t>шт</t>
        </is>
      </c>
      <c r="E46" s="145" t="n">
        <v>1</v>
      </c>
      <c r="F46" s="262" t="n">
        <v>976.76</v>
      </c>
      <c r="G46" s="32">
        <f>ROUND(E46*F46,2)</f>
        <v/>
      </c>
      <c r="H46" s="147">
        <f>G46/$G$59</f>
        <v/>
      </c>
      <c r="I46" s="32">
        <f>ROUND(F46*Прил.10!$D$13,2)</f>
        <v/>
      </c>
      <c r="J46" s="32">
        <f>ROUND(I46*E46,2)</f>
        <v/>
      </c>
    </row>
    <row r="47" outlineLevel="1" ht="25.5" customFormat="1" customHeight="1" s="215">
      <c r="A47" s="260" t="n">
        <v>18</v>
      </c>
      <c r="B47" s="144" t="inlineStr">
        <is>
          <t>22.2.02.04-0032</t>
        </is>
      </c>
      <c r="C47" s="259" t="inlineStr">
        <is>
          <t>Звено промежуточное регулируемое двойное 2ПРР-16-2</t>
        </is>
      </c>
      <c r="D47" s="260" t="inlineStr">
        <is>
          <t>шт</t>
        </is>
      </c>
      <c r="E47" s="145" t="n">
        <v>5</v>
      </c>
      <c r="F47" s="262" t="n">
        <v>164.71</v>
      </c>
      <c r="G47" s="32">
        <f>ROUND(E47*F47,2)</f>
        <v/>
      </c>
      <c r="H47" s="147">
        <f>G47/$G$59</f>
        <v/>
      </c>
      <c r="I47" s="32">
        <f>ROUND(F47*Прил.10!$D$13,2)</f>
        <v/>
      </c>
      <c r="J47" s="32">
        <f>ROUND(I47*E47,2)</f>
        <v/>
      </c>
    </row>
    <row r="48" outlineLevel="1" ht="25.5" customFormat="1" customHeight="1" s="215">
      <c r="A48" s="260" t="n">
        <v>19</v>
      </c>
      <c r="B48" s="144" t="inlineStr">
        <is>
          <t>22.2.02.04-0012</t>
        </is>
      </c>
      <c r="C48" s="259" t="inlineStr">
        <is>
          <t>Звено промежуточное монтажное ПТМ-16-3</t>
        </is>
      </c>
      <c r="D48" s="260" t="inlineStr">
        <is>
          <t>шт</t>
        </is>
      </c>
      <c r="E48" s="145" t="n">
        <v>5</v>
      </c>
      <c r="F48" s="262" t="n">
        <v>148.2</v>
      </c>
      <c r="G48" s="32">
        <f>ROUND(E48*F48,2)</f>
        <v/>
      </c>
      <c r="H48" s="147">
        <f>G48/$G$59</f>
        <v/>
      </c>
      <c r="I48" s="32">
        <f>ROUND(F48*Прил.10!$D$13,2)</f>
        <v/>
      </c>
      <c r="J48" s="32">
        <f>ROUND(I48*E48,2)</f>
        <v/>
      </c>
    </row>
    <row r="49" outlineLevel="1" ht="14.25" customFormat="1" customHeight="1" s="215">
      <c r="A49" s="260" t="n">
        <v>20</v>
      </c>
      <c r="B49" s="144" t="inlineStr">
        <is>
          <t>22.2.02.04-0023</t>
        </is>
      </c>
      <c r="C49" s="259" t="inlineStr">
        <is>
          <t>Звено промежуточное прямое ПР-16-6</t>
        </is>
      </c>
      <c r="D49" s="260" t="inlineStr">
        <is>
          <t>шт</t>
        </is>
      </c>
      <c r="E49" s="145" t="n">
        <v>10</v>
      </c>
      <c r="F49" s="262" t="n">
        <v>60.08</v>
      </c>
      <c r="G49" s="32">
        <f>ROUND(E49*F49,2)</f>
        <v/>
      </c>
      <c r="H49" s="147">
        <f>G49/$G$59</f>
        <v/>
      </c>
      <c r="I49" s="32">
        <f>ROUND(F49*Прил.10!$D$13,2)</f>
        <v/>
      </c>
      <c r="J49" s="32">
        <f>ROUND(I49*E49,2)</f>
        <v/>
      </c>
    </row>
    <row r="50" outlineLevel="1" ht="14.25" customFormat="1" customHeight="1" s="215">
      <c r="A50" s="260" t="n">
        <v>21</v>
      </c>
      <c r="B50" s="144" t="inlineStr">
        <is>
          <t>20.1.02.05-0006</t>
        </is>
      </c>
      <c r="C50" s="259" t="inlineStr">
        <is>
          <t>Коромысло: 2КЛ-12/16-1</t>
        </is>
      </c>
      <c r="D50" s="260" t="inlineStr">
        <is>
          <t>шт</t>
        </is>
      </c>
      <c r="E50" s="145" t="n">
        <v>1</v>
      </c>
      <c r="F50" s="262" t="n">
        <v>539.29</v>
      </c>
      <c r="G50" s="32">
        <f>ROUND(E50*F50,2)</f>
        <v/>
      </c>
      <c r="H50" s="147">
        <f>G50/$G$59</f>
        <v/>
      </c>
      <c r="I50" s="32">
        <f>ROUND(F50*Прил.10!$D$13,2)</f>
        <v/>
      </c>
      <c r="J50" s="32">
        <f>ROUND(I50*E50,2)</f>
        <v/>
      </c>
    </row>
    <row r="51" outlineLevel="1" ht="25.5" customFormat="1" customHeight="1" s="215">
      <c r="A51" s="260" t="n">
        <v>22</v>
      </c>
      <c r="B51" s="144" t="inlineStr">
        <is>
          <t>22.2.02.04-0009</t>
        </is>
      </c>
      <c r="C51" s="259" t="inlineStr">
        <is>
          <t>Звено промежуточное монтажное ПТМ-12-3</t>
        </is>
      </c>
      <c r="D51" s="260" t="inlineStr">
        <is>
          <t>шт</t>
        </is>
      </c>
      <c r="E51" s="145" t="n">
        <v>5</v>
      </c>
      <c r="F51" s="262" t="n">
        <v>103.63</v>
      </c>
      <c r="G51" s="32">
        <f>ROUND(E51*F51,2)</f>
        <v/>
      </c>
      <c r="H51" s="147">
        <f>G51/$G$59</f>
        <v/>
      </c>
      <c r="I51" s="32">
        <f>ROUND(F51*Прил.10!$D$13,2)</f>
        <v/>
      </c>
      <c r="J51" s="32">
        <f>ROUND(I51*E51,2)</f>
        <v/>
      </c>
    </row>
    <row r="52" outlineLevel="1" ht="25.5" customFormat="1" customHeight="1" s="215">
      <c r="A52" s="260" t="n">
        <v>23</v>
      </c>
      <c r="B52" s="144" t="inlineStr">
        <is>
          <t>22.2.02.04-0047</t>
        </is>
      </c>
      <c r="C52" s="259" t="inlineStr">
        <is>
          <t>Звено промежуточное трехлапчатое ПРТ-12/16-2</t>
        </is>
      </c>
      <c r="D52" s="260" t="inlineStr">
        <is>
          <t>шт</t>
        </is>
      </c>
      <c r="E52" s="145" t="n">
        <v>5</v>
      </c>
      <c r="F52" s="262" t="n">
        <v>66.12</v>
      </c>
      <c r="G52" s="32">
        <f>ROUND(E52*F52,2)</f>
        <v/>
      </c>
      <c r="H52" s="147">
        <f>G52/$G$59</f>
        <v/>
      </c>
      <c r="I52" s="32">
        <f>ROUND(F52*Прил.10!$D$13,2)</f>
        <v/>
      </c>
      <c r="J52" s="32">
        <f>ROUND(I52*E52,2)</f>
        <v/>
      </c>
    </row>
    <row r="53" outlineLevel="1" ht="25.5" customFormat="1" customHeight="1" s="215">
      <c r="A53" s="260" t="n">
        <v>24</v>
      </c>
      <c r="B53" s="144" t="inlineStr">
        <is>
          <t>22.2.02.04-0003</t>
        </is>
      </c>
      <c r="C53" s="259" t="inlineStr">
        <is>
          <t>Звено промежуточное вывернутое ПРВ-16-1</t>
        </is>
      </c>
      <c r="D53" s="260" t="inlineStr">
        <is>
          <t>шт</t>
        </is>
      </c>
      <c r="E53" s="145" t="n">
        <v>5</v>
      </c>
      <c r="F53" s="262" t="n">
        <v>63.58</v>
      </c>
      <c r="G53" s="32">
        <f>ROUND(E53*F53,2)</f>
        <v/>
      </c>
      <c r="H53" s="147">
        <f>G53/$G$59</f>
        <v/>
      </c>
      <c r="I53" s="32">
        <f>ROUND(F53*Прил.10!$D$13,2)</f>
        <v/>
      </c>
      <c r="J53" s="32">
        <f>ROUND(I53*E53,2)</f>
        <v/>
      </c>
    </row>
    <row r="54" outlineLevel="1" ht="14.25" customFormat="1" customHeight="1" s="215">
      <c r="A54" s="260" t="n">
        <v>25</v>
      </c>
      <c r="B54" s="144" t="inlineStr">
        <is>
          <t>20.1.02.14-0005</t>
        </is>
      </c>
      <c r="C54" s="259" t="inlineStr">
        <is>
          <t>Серьга СР-16-20</t>
        </is>
      </c>
      <c r="D54" s="260" t="inlineStr">
        <is>
          <t>шт</t>
        </is>
      </c>
      <c r="E54" s="145" t="n">
        <v>10</v>
      </c>
      <c r="F54" s="262" t="n">
        <v>21.5</v>
      </c>
      <c r="G54" s="32">
        <f>ROUND(E54*F54,2)</f>
        <v/>
      </c>
      <c r="H54" s="147">
        <f>G54/$G$59</f>
        <v/>
      </c>
      <c r="I54" s="32">
        <f>ROUND(F54*Прил.10!$D$13,2)</f>
        <v/>
      </c>
      <c r="J54" s="32">
        <f>ROUND(I54*E54,2)</f>
        <v/>
      </c>
    </row>
    <row r="55" outlineLevel="1" ht="14.25" customFormat="1" customHeight="1" s="215">
      <c r="A55" s="260" t="n">
        <v>26</v>
      </c>
      <c r="B55" s="144" t="inlineStr">
        <is>
          <t>22.2.02.04-0022</t>
        </is>
      </c>
      <c r="C55" s="259" t="inlineStr">
        <is>
          <t>Звено промежуточное прямое ПР-12-6</t>
        </is>
      </c>
      <c r="D55" s="260" t="inlineStr">
        <is>
          <t>шт</t>
        </is>
      </c>
      <c r="E55" s="145" t="n">
        <v>5</v>
      </c>
      <c r="F55" s="262" t="n">
        <v>42.05</v>
      </c>
      <c r="G55" s="32">
        <f>ROUND(E55*F55,2)</f>
        <v/>
      </c>
      <c r="H55" s="147">
        <f>G55/$G$59</f>
        <v/>
      </c>
      <c r="I55" s="32">
        <f>ROUND(F55*Прил.10!$D$13,2)</f>
        <v/>
      </c>
      <c r="J55" s="32">
        <f>ROUND(I55*E55,2)</f>
        <v/>
      </c>
    </row>
    <row r="56" outlineLevel="1" ht="25.5" customFormat="1" customHeight="1" s="215">
      <c r="A56" s="260" t="n">
        <v>27</v>
      </c>
      <c r="B56" s="144" t="inlineStr">
        <is>
          <t>20.2.03.15-0001</t>
        </is>
      </c>
      <c r="C56" s="259" t="inlineStr">
        <is>
          <t>Распорка усиленная сейсмостойкая РПУ-4, из оцинкованной стали</t>
        </is>
      </c>
      <c r="D56" s="260" t="inlineStr">
        <is>
          <t>шт</t>
        </is>
      </c>
      <c r="E56" s="145" t="n">
        <v>1</v>
      </c>
      <c r="F56" s="262" t="n">
        <v>42.04</v>
      </c>
      <c r="G56" s="32">
        <f>ROUND(E56*F56,2)</f>
        <v/>
      </c>
      <c r="H56" s="147">
        <f>G56/$G$59</f>
        <v/>
      </c>
      <c r="I56" s="32">
        <f>ROUND(F56*Прил.10!$D$13,2)</f>
        <v/>
      </c>
      <c r="J56" s="32">
        <f>ROUND(I56*E56,2)</f>
        <v/>
      </c>
    </row>
    <row r="57" outlineLevel="1" ht="25.5" customFormat="1" customHeight="1" s="215">
      <c r="A57" s="260" t="n">
        <v>28</v>
      </c>
      <c r="B57" s="144" t="inlineStr">
        <is>
          <t>999-9950</t>
        </is>
      </c>
      <c r="C57" s="259" t="inlineStr">
        <is>
          <t>Вспомогательные ненормируемые ресурсы (2% от Оплаты труда рабочих)</t>
        </is>
      </c>
      <c r="D57" s="260" t="inlineStr">
        <is>
          <t>руб</t>
        </is>
      </c>
      <c r="E57" s="145" t="n">
        <v>8.949999999999999</v>
      </c>
      <c r="F57" s="262" t="n">
        <v>1</v>
      </c>
      <c r="G57" s="32">
        <f>ROUND(E57*F57,2)</f>
        <v/>
      </c>
      <c r="H57" s="147">
        <f>G57/$G$59</f>
        <v/>
      </c>
      <c r="I57" s="32">
        <f>ROUND(F57*Прил.10!$D$13,2)</f>
        <v/>
      </c>
      <c r="J57" s="32">
        <f>ROUND(I57*E57,2)</f>
        <v/>
      </c>
    </row>
    <row r="58" ht="14.25" customFormat="1" customHeight="1" s="215">
      <c r="A58" s="260" t="n"/>
      <c r="B58" s="260" t="n"/>
      <c r="C58" s="259" t="inlineStr">
        <is>
          <t>Итого прочие материалы</t>
        </is>
      </c>
      <c r="D58" s="260" t="n"/>
      <c r="E58" s="261" t="n"/>
      <c r="F58" s="262" t="n"/>
      <c r="G58" s="32">
        <f>SUM(G40:G57)</f>
        <v/>
      </c>
      <c r="H58" s="263">
        <f>G58/G59</f>
        <v/>
      </c>
      <c r="I58" s="32" t="n"/>
      <c r="J58" s="32">
        <f>SUM(J40:J57)</f>
        <v/>
      </c>
    </row>
    <row r="59" ht="14.25" customFormat="1" customHeight="1" s="215">
      <c r="A59" s="260" t="n"/>
      <c r="B59" s="260" t="n"/>
      <c r="C59" s="264" t="inlineStr">
        <is>
          <t>Итого по разделу «Материалы»</t>
        </is>
      </c>
      <c r="D59" s="260" t="n"/>
      <c r="E59" s="261" t="n"/>
      <c r="F59" s="262" t="n"/>
      <c r="G59" s="32">
        <f>G39+G58</f>
        <v/>
      </c>
      <c r="H59" s="263" t="n">
        <v>1</v>
      </c>
      <c r="I59" s="32" t="n"/>
      <c r="J59" s="32">
        <f>J39+J58</f>
        <v/>
      </c>
    </row>
    <row r="60" ht="14.25" customFormat="1" customHeight="1" s="215">
      <c r="A60" s="260" t="n"/>
      <c r="B60" s="260" t="n"/>
      <c r="C60" s="259" t="inlineStr">
        <is>
          <t>ИТОГО ПО РМ</t>
        </is>
      </c>
      <c r="D60" s="260" t="n"/>
      <c r="E60" s="261" t="n"/>
      <c r="F60" s="262" t="n"/>
      <c r="G60" s="32">
        <f>G15+G26+G59</f>
        <v/>
      </c>
      <c r="H60" s="263" t="n"/>
      <c r="I60" s="32" t="n"/>
      <c r="J60" s="32">
        <f>J15+J26+J59</f>
        <v/>
      </c>
    </row>
    <row r="61" ht="14.25" customFormat="1" customHeight="1" s="215">
      <c r="A61" s="260" t="n"/>
      <c r="B61" s="260" t="n"/>
      <c r="C61" s="259" t="inlineStr">
        <is>
          <t>Накладные расходы</t>
        </is>
      </c>
      <c r="D61" s="151">
        <f>ROUND(G61/(G$17+$G$15),2)</f>
        <v/>
      </c>
      <c r="E61" s="261" t="n"/>
      <c r="F61" s="262" t="n"/>
      <c r="G61" s="32" t="n">
        <v>594.95</v>
      </c>
      <c r="H61" s="263" t="n"/>
      <c r="I61" s="32" t="n"/>
      <c r="J61" s="32">
        <f>ROUND(D61*(J15+J17),2)</f>
        <v/>
      </c>
    </row>
    <row r="62" ht="14.25" customFormat="1" customHeight="1" s="215">
      <c r="A62" s="260" t="n"/>
      <c r="B62" s="260" t="n"/>
      <c r="C62" s="259" t="inlineStr">
        <is>
          <t>Сметная прибыль</t>
        </is>
      </c>
      <c r="D62" s="151">
        <f>ROUND(G62/(G$15+G$17),2)</f>
        <v/>
      </c>
      <c r="E62" s="261" t="n"/>
      <c r="F62" s="262" t="n"/>
      <c r="G62" s="32" t="n">
        <v>312.81</v>
      </c>
      <c r="H62" s="263" t="n"/>
      <c r="I62" s="32" t="n"/>
      <c r="J62" s="32">
        <f>ROUND(D62*(J15+J17),2)</f>
        <v/>
      </c>
    </row>
    <row r="63" ht="14.25" customFormat="1" customHeight="1" s="215">
      <c r="A63" s="260" t="n"/>
      <c r="B63" s="260" t="n"/>
      <c r="C63" s="259" t="inlineStr">
        <is>
          <t>Итого СМР (с НР и СП)</t>
        </is>
      </c>
      <c r="D63" s="260" t="n"/>
      <c r="E63" s="261" t="n"/>
      <c r="F63" s="262" t="n"/>
      <c r="G63" s="32">
        <f>G15+G26+G59+G61+G62</f>
        <v/>
      </c>
      <c r="H63" s="263" t="n"/>
      <c r="I63" s="32" t="n"/>
      <c r="J63" s="32">
        <f>J15+J26+J59+J61+J62</f>
        <v/>
      </c>
    </row>
    <row r="64" ht="14.25" customFormat="1" customHeight="1" s="215">
      <c r="A64" s="260" t="n"/>
      <c r="B64" s="260" t="n"/>
      <c r="C64" s="259" t="inlineStr">
        <is>
          <t>ВСЕГО СМР + ОБОРУДОВАНИЕ</t>
        </is>
      </c>
      <c r="D64" s="260" t="n"/>
      <c r="E64" s="261" t="n"/>
      <c r="F64" s="262" t="n"/>
      <c r="G64" s="32">
        <f>G63+G31</f>
        <v/>
      </c>
      <c r="H64" s="263" t="n"/>
      <c r="I64" s="32" t="n"/>
      <c r="J64" s="32">
        <f>J63+J31</f>
        <v/>
      </c>
    </row>
    <row r="65" ht="34.5" customFormat="1" customHeight="1" s="215">
      <c r="A65" s="260" t="n"/>
      <c r="B65" s="260" t="n"/>
      <c r="C65" s="259" t="inlineStr">
        <is>
          <t>ИТОГО ПОКАЗАТЕЛЬ НА ЕД. ИЗМ.</t>
        </is>
      </c>
      <c r="D65" s="260" t="inlineStr">
        <is>
          <t>1 км ВЛ</t>
        </is>
      </c>
      <c r="E65" s="261" t="n">
        <v>0.17</v>
      </c>
      <c r="F65" s="262" t="n"/>
      <c r="G65" s="32">
        <f>G64/E65</f>
        <v/>
      </c>
      <c r="H65" s="263" t="n"/>
      <c r="I65" s="32" t="n"/>
      <c r="J65" s="32">
        <f>J64/E65</f>
        <v/>
      </c>
    </row>
    <row r="67" s="205">
      <c r="B67" s="206" t="inlineStr">
        <is>
          <t>Составил ______________________        А.Р. Маркова</t>
        </is>
      </c>
      <c r="C67" s="215" t="n"/>
    </row>
    <row r="68" s="205">
      <c r="B68" s="216" t="inlineStr">
        <is>
          <t xml:space="preserve">                         (подпись, инициалы, фамилия)</t>
        </is>
      </c>
      <c r="C68" s="215" t="n"/>
    </row>
    <row r="69" s="205">
      <c r="B69" s="206" t="n"/>
      <c r="C69" s="215" t="n"/>
    </row>
    <row r="70" s="205">
      <c r="B70" s="206" t="inlineStr">
        <is>
          <t>Проверил ______________________        А.В. Костянецкая</t>
        </is>
      </c>
      <c r="C70" s="215" t="n"/>
    </row>
    <row r="71" s="205">
      <c r="B71" s="216" t="inlineStr">
        <is>
          <t xml:space="preserve">                        (подпись, инициалы, фамилия)</t>
        </is>
      </c>
      <c r="C71" s="215" t="n"/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A15" sqref="A15:XFD19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270" t="inlineStr">
        <is>
          <t>Приложение №6</t>
        </is>
      </c>
    </row>
    <row r="2" ht="21.75" customHeight="1" s="205">
      <c r="A2" s="270" t="n"/>
      <c r="B2" s="270" t="n"/>
      <c r="C2" s="270" t="n"/>
      <c r="D2" s="270" t="n"/>
      <c r="E2" s="270" t="n"/>
      <c r="F2" s="270" t="n"/>
      <c r="G2" s="270" t="n"/>
    </row>
    <row r="3">
      <c r="A3" s="229" t="inlineStr">
        <is>
          <t>Расчет стоимости оборудования</t>
        </is>
      </c>
    </row>
    <row r="4" ht="25.5" customHeight="1" s="205">
      <c r="A4" s="232" t="inlineStr">
        <is>
          <t>Наименование разрабатываемого показателя УНЦ - Гирлянды изоляторов ВЛ напряжение 750 кВ</t>
        </is>
      </c>
    </row>
    <row r="5">
      <c r="A5" s="206" t="n"/>
      <c r="B5" s="206" t="n"/>
      <c r="C5" s="206" t="n"/>
      <c r="D5" s="206" t="n"/>
      <c r="E5" s="206" t="n"/>
      <c r="F5" s="206" t="n"/>
      <c r="G5" s="206" t="n"/>
    </row>
    <row r="6" ht="30" customHeight="1" s="205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60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 s="205">
      <c r="A9" s="25" t="n"/>
      <c r="B9" s="259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205">
      <c r="A10" s="260" t="n"/>
      <c r="B10" s="264" t="n"/>
      <c r="C10" s="259" t="inlineStr">
        <is>
          <t>ИТОГО ИНЖЕНЕРНОЕ ОБОРУДОВАНИЕ</t>
        </is>
      </c>
      <c r="D10" s="264" t="n"/>
      <c r="E10" s="104" t="n"/>
      <c r="F10" s="262" t="n"/>
      <c r="G10" s="262" t="n">
        <v>0</v>
      </c>
    </row>
    <row r="11">
      <c r="A11" s="260" t="n"/>
      <c r="B11" s="259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25.5" customHeight="1" s="205">
      <c r="A12" s="260" t="n"/>
      <c r="B12" s="259" t="n"/>
      <c r="C12" s="259" t="inlineStr">
        <is>
          <t>ИТОГО ТЕХНОЛОГИЧЕСКОЕ ОБОРУДОВАНИЕ</t>
        </is>
      </c>
      <c r="D12" s="259" t="n"/>
      <c r="E12" s="274" t="n"/>
      <c r="F12" s="262" t="n"/>
      <c r="G12" s="32" t="n">
        <v>0</v>
      </c>
    </row>
    <row r="13" ht="19.5" customHeight="1" s="205">
      <c r="A13" s="260" t="n"/>
      <c r="B13" s="259" t="n"/>
      <c r="C13" s="259" t="inlineStr">
        <is>
          <t>Всего по разделу «Оборудование»</t>
        </is>
      </c>
      <c r="D13" s="259" t="n"/>
      <c r="E13" s="274" t="n"/>
      <c r="F13" s="262" t="n"/>
      <c r="G13" s="32" t="n">
        <v>0</v>
      </c>
    </row>
    <row r="14">
      <c r="A14" s="213" t="n"/>
      <c r="B14" s="214" t="n"/>
      <c r="C14" s="213" t="n"/>
      <c r="D14" s="213" t="n"/>
      <c r="E14" s="213" t="n"/>
      <c r="F14" s="213" t="n"/>
      <c r="G14" s="213" t="n"/>
    </row>
    <row r="15" s="205">
      <c r="B15" s="206" t="inlineStr">
        <is>
          <t>Составил ______________________        А.Р. Маркова</t>
        </is>
      </c>
      <c r="C15" s="215" t="n"/>
    </row>
    <row r="16" s="205">
      <c r="B16" s="216" t="inlineStr">
        <is>
          <t xml:space="preserve">                         (подпись, инициалы, фамилия)</t>
        </is>
      </c>
      <c r="C16" s="215" t="n"/>
    </row>
    <row r="17" s="205">
      <c r="B17" s="206" t="n"/>
      <c r="C17" s="215" t="n"/>
    </row>
    <row r="18" s="205">
      <c r="B18" s="206" t="inlineStr">
        <is>
          <t>Проверил ______________________        А.В. Костянецкая</t>
        </is>
      </c>
      <c r="C18" s="215" t="n"/>
    </row>
    <row r="19" s="205">
      <c r="B19" s="216" t="inlineStr">
        <is>
          <t xml:space="preserve">                        (подпись, инициалы, фамилия)</t>
        </is>
      </c>
      <c r="C19" s="2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:XFD17"/>
    </sheetView>
  </sheetViews>
  <sheetFormatPr baseColWidth="8" defaultColWidth="8.85546875" defaultRowHeight="15"/>
  <cols>
    <col width="19.28515625" customWidth="1" style="205" min="1" max="1"/>
    <col width="25.42578125" customWidth="1" style="205" min="2" max="2"/>
    <col width="38.28515625" customWidth="1" style="205" min="3" max="3"/>
    <col width="33.28515625" customWidth="1" style="205" min="4" max="4"/>
    <col width="8.85546875" customWidth="1" style="205" min="5" max="5"/>
  </cols>
  <sheetData>
    <row r="1">
      <c r="B1" s="206" t="n"/>
      <c r="C1" s="206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>
      <c r="A3" s="229" t="inlineStr">
        <is>
          <t>Расчет показателя УНЦ</t>
        </is>
      </c>
    </row>
    <row r="4" ht="25.15" customHeight="1" s="205">
      <c r="A4" s="229" t="n"/>
      <c r="B4" s="229" t="n"/>
      <c r="C4" s="229" t="n"/>
      <c r="D4" s="229" t="n"/>
    </row>
    <row r="5" ht="44.45" customHeight="1" s="205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>
      <c r="A6" s="232" t="inlineStr">
        <is>
          <t>Единица измерения  — 1 км ВЛ</t>
        </is>
      </c>
      <c r="D6" s="232" t="n"/>
    </row>
    <row r="7">
      <c r="A7" s="206" t="n"/>
      <c r="B7" s="206" t="n"/>
      <c r="C7" s="206" t="n"/>
      <c r="D7" s="206" t="n"/>
    </row>
    <row r="8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>
      <c r="A9" s="323" t="n"/>
      <c r="B9" s="323" t="n"/>
      <c r="C9" s="323" t="n"/>
      <c r="D9" s="323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44.45" customHeight="1" s="205">
      <c r="A11" s="260" t="inlineStr">
        <is>
          <t>Л10-06-1</t>
        </is>
      </c>
      <c r="B11" s="260" t="inlineStr">
        <is>
          <t>УНЦ гирлянды изоляторов ВЛ</t>
        </is>
      </c>
      <c r="C11" s="211">
        <f>D5</f>
        <v/>
      </c>
      <c r="D11" s="212">
        <f>'Прил.4 РМ'!C41/1000</f>
        <v/>
      </c>
    </row>
    <row r="12">
      <c r="A12" s="213" t="n"/>
      <c r="B12" s="214" t="n"/>
      <c r="C12" s="213" t="n"/>
      <c r="D12" s="213" t="n"/>
    </row>
    <row r="13" s="205">
      <c r="B13" s="206" t="inlineStr">
        <is>
          <t>Составил ______________________        А.Р. Маркова</t>
        </is>
      </c>
      <c r="C13" s="215" t="n"/>
    </row>
    <row r="14" s="205">
      <c r="B14" s="216" t="inlineStr">
        <is>
          <t xml:space="preserve">                         (подпись, инициалы, фамилия)</t>
        </is>
      </c>
      <c r="C14" s="215" t="n"/>
    </row>
    <row r="15" s="205">
      <c r="B15" s="206" t="n"/>
      <c r="C15" s="215" t="n"/>
    </row>
    <row r="16" s="205">
      <c r="B16" s="206" t="inlineStr">
        <is>
          <t>Проверил ______________________        А.В. Костянецкая</t>
        </is>
      </c>
      <c r="C16" s="215" t="n"/>
    </row>
    <row r="17" s="205">
      <c r="B17" s="216" t="inlineStr">
        <is>
          <t xml:space="preserve">                        (подпись, инициалы, фамилия)</t>
        </is>
      </c>
      <c r="C17" s="21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8" zoomScale="60" zoomScaleNormal="85" workbookViewId="0">
      <selection activeCell="C24" sqref="C24"/>
    </sheetView>
  </sheetViews>
  <sheetFormatPr baseColWidth="8" defaultRowHeight="15"/>
  <cols>
    <col width="9.140625" customWidth="1" style="205" min="1" max="1"/>
    <col width="40.7109375" customWidth="1" style="205" min="2" max="2"/>
    <col width="37" customWidth="1" style="205" min="3" max="3"/>
    <col width="32" customWidth="1" style="205" min="4" max="4"/>
    <col width="9.140625" customWidth="1" style="205" min="5" max="5"/>
  </cols>
  <sheetData>
    <row r="4" ht="15.75" customHeight="1" s="205">
      <c r="B4" s="237" t="inlineStr">
        <is>
          <t>Приложение № 10</t>
        </is>
      </c>
    </row>
    <row r="5" ht="18.75" customHeight="1" s="205">
      <c r="B5" s="137" t="n"/>
    </row>
    <row r="6" ht="15.75" customHeight="1" s="205">
      <c r="B6" s="242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 s="205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05">
      <c r="B10" s="243" t="n">
        <v>1</v>
      </c>
      <c r="C10" s="243" t="n">
        <v>2</v>
      </c>
      <c r="D10" s="243" t="n">
        <v>3</v>
      </c>
    </row>
    <row r="11" ht="47.25" customHeight="1" s="205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01.04.2023г. №17772-ИФ/09  прил.9</t>
        </is>
      </c>
      <c r="D11" s="243" t="n">
        <v>46.83</v>
      </c>
    </row>
    <row r="12" ht="47.25" customHeight="1" s="205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01.04.2023г. №17772-ИФ/09  прил.9</t>
        </is>
      </c>
      <c r="D12" s="243" t="n">
        <v>11.79</v>
      </c>
    </row>
    <row r="13" ht="47.25" customHeight="1" s="205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01.04.2023г. №17772-ИФ/09  прил.9</t>
        </is>
      </c>
      <c r="D13" s="243" t="n">
        <v>9.140000000000001</v>
      </c>
    </row>
    <row r="14" ht="30.75" customHeight="1" s="205">
      <c r="B14" s="243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05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8" t="n">
        <v>0.033</v>
      </c>
    </row>
    <row r="16" ht="78.75" customHeight="1" s="205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8" t="n">
        <v>0.01</v>
      </c>
    </row>
    <row r="17" ht="34.5" customHeight="1" s="205">
      <c r="B17" s="243" t="n"/>
      <c r="C17" s="243" t="n"/>
      <c r="D17" s="243" t="n"/>
    </row>
    <row r="18" ht="31.5" customHeight="1" s="205">
      <c r="B18" s="243" t="inlineStr">
        <is>
          <t>Строительный контроль</t>
        </is>
      </c>
      <c r="C18" s="243" t="inlineStr">
        <is>
          <t>Постановление Правительства РФ от 21.06.10 г. № 468</t>
        </is>
      </c>
      <c r="D18" s="138" t="n">
        <v>0.0214</v>
      </c>
    </row>
    <row r="19" ht="31.5" customHeight="1" s="205">
      <c r="B19" s="243" t="inlineStr">
        <is>
          <t>Авторский надзор - 0,2%</t>
        </is>
      </c>
      <c r="C19" s="243" t="inlineStr">
        <is>
          <t>Приказ от 4.08.2020 № 421/пр п.173</t>
        </is>
      </c>
      <c r="D19" s="138" t="n">
        <v>0.002</v>
      </c>
    </row>
    <row r="20" ht="24" customHeight="1" s="205">
      <c r="B20" s="243" t="inlineStr">
        <is>
          <t>Непредвиденные расходы</t>
        </is>
      </c>
      <c r="C20" s="243" t="inlineStr">
        <is>
          <t>Приказ от 4.08.2020 № 421/пр п.179</t>
        </is>
      </c>
      <c r="D20" s="138" t="n">
        <v>0.03</v>
      </c>
    </row>
    <row r="21" ht="18.75" customHeight="1" s="205">
      <c r="B21" s="116" t="n"/>
    </row>
    <row r="22" ht="18.75" customHeight="1" s="205">
      <c r="B22" s="116" t="n"/>
    </row>
    <row r="23" ht="18.75" customHeight="1" s="205">
      <c r="B23" s="116" t="n"/>
    </row>
    <row r="24" ht="18.75" customHeight="1" s="205">
      <c r="B24" s="116" t="n"/>
    </row>
    <row r="27" s="205">
      <c r="B27" s="206" t="inlineStr">
        <is>
          <t>Составил ______________________        А.Р. Маркова</t>
        </is>
      </c>
      <c r="C27" s="215" t="n"/>
    </row>
    <row r="28" s="205">
      <c r="B28" s="216" t="inlineStr">
        <is>
          <t xml:space="preserve">                         (подпись, инициалы, фамилия)</t>
        </is>
      </c>
      <c r="C28" s="215" t="n"/>
    </row>
    <row r="29" s="205">
      <c r="B29" s="206" t="n"/>
      <c r="C29" s="215" t="n"/>
    </row>
    <row r="30" s="205">
      <c r="B30" s="206" t="inlineStr">
        <is>
          <t>Проверил ______________________        А.В. Костянецкая</t>
        </is>
      </c>
      <c r="C30" s="215" t="n"/>
    </row>
    <row r="31" s="205">
      <c r="B31" s="216" t="inlineStr">
        <is>
          <t xml:space="preserve">                        (подпись, инициалы, фамилия)</t>
        </is>
      </c>
      <c r="C31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9" sqref="D19"/>
    </sheetView>
  </sheetViews>
  <sheetFormatPr baseColWidth="8" defaultRowHeight="15"/>
  <cols>
    <col width="9.140625" customWidth="1" style="205" min="1" max="1"/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43.85546875" customWidth="1" style="205" min="6" max="6"/>
    <col width="9.140625" customWidth="1" style="205" min="7" max="7"/>
  </cols>
  <sheetData>
    <row r="2" ht="17.25" customHeight="1" s="205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5">
      <c r="A4" s="124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 s="205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25" t="n"/>
    </row>
    <row r="6" ht="15.75" customHeight="1" s="205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25" t="n"/>
    </row>
    <row r="7" ht="110.25" customHeight="1" s="205">
      <c r="A7" s="127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129" t="n">
        <v>43361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5" t="n"/>
    </row>
    <row r="8" ht="31.5" customHeight="1" s="205">
      <c r="A8" s="127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129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205">
      <c r="A9" s="127" t="inlineStr">
        <is>
          <t>1.3</t>
        </is>
      </c>
      <c r="B9" s="128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129" t="n">
        <v>1</v>
      </c>
      <c r="F9" s="128" t="n"/>
      <c r="G9" s="130" t="n"/>
    </row>
    <row r="10" ht="15.75" customHeight="1" s="205">
      <c r="A10" s="127" t="inlineStr">
        <is>
          <t>1.4</t>
        </is>
      </c>
      <c r="B10" s="128" t="inlineStr">
        <is>
          <t>Средний разряд работ</t>
        </is>
      </c>
      <c r="C10" s="243" t="n"/>
      <c r="D10" s="243" t="n"/>
      <c r="E10" s="131" t="n">
        <v>4</v>
      </c>
      <c r="F10" s="128" t="inlineStr">
        <is>
          <t>РТМ</t>
        </is>
      </c>
      <c r="G10" s="130" t="n"/>
    </row>
    <row r="11" ht="78.75" customHeight="1" s="205">
      <c r="A11" s="127" t="inlineStr">
        <is>
          <t>1.5</t>
        </is>
      </c>
      <c r="B11" s="128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132" t="n">
        <v>1.34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5" t="n"/>
    </row>
    <row r="12" ht="78.75" customHeight="1" s="205">
      <c r="A12" s="127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133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5">
      <c r="A13" s="127" t="inlineStr">
        <is>
          <t>1.7</t>
        </is>
      </c>
      <c r="B13" s="227" t="inlineStr">
        <is>
          <t>Размер средств на оплату труда рабочих-строителей в текущем уровне цен (ФОТр.тек.), руб/чел.-ч</t>
        </is>
      </c>
      <c r="C13" s="243" t="inlineStr">
        <is>
          <t>ФОТр.тек.</t>
        </is>
      </c>
      <c r="D13" s="243" t="inlineStr">
        <is>
          <t>(С1ср/tср*КТ*Т*Кув)*Кинф</t>
        </is>
      </c>
      <c r="E13" s="136">
        <f>((E7*E9/E8)*E11)*E12</f>
        <v/>
      </c>
      <c r="F13" s="1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2025-01-24T12:09:48Z</dcterms:modified>
  <cp:lastModifiedBy>Danil</cp:lastModifiedBy>
  <cp:lastPrinted>2023-11-29T09:02:45Z</cp:lastPrinted>
</cp:coreProperties>
</file>