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color rgb="FF000000"/>
      <sz val="10"/>
    </font>
    <font>
      <name val="Calibri"/>
      <b val="1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70" fontId="11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4" fontId="12" fillId="0" borderId="1" applyAlignment="1" pivotButton="0" quotePrefix="0" xfId="0">
      <alignment horizontal="center" vertical="center" wrapText="1"/>
    </xf>
    <xf numFmtId="2" fontId="12" fillId="0" borderId="1" applyAlignment="1" pivotButton="0" quotePrefix="0" xfId="0">
      <alignment horizontal="center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173" fontId="2" fillId="0" borderId="1" applyAlignment="1" pivotButton="0" quotePrefix="0" xfId="0">
      <alignment horizontal="center" vertical="top" wrapText="1"/>
    </xf>
    <xf numFmtId="2" fontId="2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 vertical="center" wrapText="1"/>
    </xf>
    <xf numFmtId="167" fontId="1" fillId="0" borderId="0" pivotButton="0" quotePrefix="0" xfId="0"/>
    <xf numFmtId="0" fontId="18" fillId="0" borderId="0" applyAlignment="1" pivotButton="0" quotePrefix="0" xfId="0">
      <alignment horizontal="left"/>
    </xf>
    <xf numFmtId="0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 wrapText="1"/>
    </xf>
    <xf numFmtId="4" fontId="9" fillId="0" borderId="0" applyAlignment="1" pivotButton="0" quotePrefix="0" xfId="0">
      <alignment vertical="center"/>
    </xf>
    <xf numFmtId="0" fontId="12" fillId="2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3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2" fontId="9" fillId="0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right" vertical="center"/>
    </xf>
    <xf numFmtId="2" fontId="9" fillId="0" borderId="1" applyAlignment="1" pivotButton="0" quotePrefix="0" xfId="0">
      <alignment horizontal="right" vertical="center" wrapText="1"/>
    </xf>
    <xf numFmtId="2" fontId="20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1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9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55" workbookViewId="0">
      <selection activeCell="C30" sqref="C30"/>
    </sheetView>
  </sheetViews>
  <sheetFormatPr baseColWidth="8" defaultRowHeight="15"/>
  <cols>
    <col width="36.85546875" customWidth="1" min="3" max="3"/>
    <col width="39.42578125" customWidth="1" min="4" max="4"/>
    <col hidden="1" width="41" customWidth="1" min="7" max="7"/>
    <col width="15" customWidth="1" min="10" max="10"/>
  </cols>
  <sheetData>
    <row r="2" ht="15.75" customHeight="1">
      <c r="B2" s="146" t="inlineStr">
        <is>
          <t>Приложение № 1</t>
        </is>
      </c>
    </row>
    <row r="3" ht="18.75" customHeight="1">
      <c r="B3" s="147" t="inlineStr">
        <is>
          <t>Сравнительная таблица отбора объекта-представителя</t>
        </is>
      </c>
    </row>
    <row r="4" ht="84" customHeight="1">
      <c r="B4" s="1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>
      <c r="B5" s="101" t="n"/>
      <c r="C5" s="101" t="n"/>
      <c r="D5" s="101" t="n"/>
    </row>
    <row r="6" ht="63" customHeight="1">
      <c r="B6" s="149" t="inlineStr">
        <is>
          <t>Наименование разрабатываемого 
показателя УНЦ</t>
        </is>
      </c>
      <c r="D6" s="159" t="inlineStr">
        <is>
          <t xml:space="preserve">Арматура и устройство крепления провода СИП </t>
        </is>
      </c>
    </row>
    <row r="7" ht="31.5" customHeight="1">
      <c r="B7" s="145" t="inlineStr">
        <is>
          <t>Сопоставимый уровень цен: 1 квартал 2018 г</t>
        </is>
      </c>
    </row>
    <row r="8" ht="15.75" customHeight="1">
      <c r="B8" s="145" t="inlineStr">
        <is>
          <t>Единица измерения  — 1 ед.</t>
        </is>
      </c>
    </row>
    <row r="9" ht="18.75" customHeight="1">
      <c r="B9" s="36" t="n"/>
    </row>
    <row r="10" ht="15.75" customHeight="1">
      <c r="B10" s="153" t="inlineStr">
        <is>
          <t>№ п/п</t>
        </is>
      </c>
      <c r="C10" s="153" t="inlineStr">
        <is>
          <t>Параметр</t>
        </is>
      </c>
      <c r="D10" s="153" t="inlineStr">
        <is>
          <t xml:space="preserve">Объект-представитель </t>
        </is>
      </c>
    </row>
    <row r="11" ht="67.5" customHeight="1">
      <c r="B11" s="153" t="n">
        <v>1</v>
      </c>
      <c r="C11" s="79" t="inlineStr">
        <is>
          <t>Наименование объекта-представителя</t>
        </is>
      </c>
      <c r="D11" s="120" t="inlineStr">
        <is>
          <t>Строительство ЛЭП-10кВ. Монтаж дополнительных ячеек 10кВ (2 ячейки) ПС Буревестник</t>
        </is>
      </c>
    </row>
    <row r="12" ht="31.5" customHeight="1">
      <c r="B12" s="153" t="n">
        <v>2</v>
      </c>
      <c r="C12" s="79" t="inlineStr">
        <is>
          <t>Наименование субъекта Российской Федерации</t>
        </is>
      </c>
      <c r="D12" s="120" t="inlineStr">
        <is>
          <t>Нижегородская область</t>
        </is>
      </c>
    </row>
    <row r="13" ht="15.75" customHeight="1">
      <c r="B13" s="153" t="n">
        <v>3</v>
      </c>
      <c r="C13" s="79" t="inlineStr">
        <is>
          <t>Климатический район и подрайон</t>
        </is>
      </c>
      <c r="D13" s="121" t="inlineStr">
        <is>
          <t>II</t>
        </is>
      </c>
    </row>
    <row r="14" ht="25.5" customHeight="1">
      <c r="B14" s="153" t="n">
        <v>4</v>
      </c>
      <c r="C14" s="79" t="inlineStr">
        <is>
          <t>Мощность объекта</t>
        </is>
      </c>
      <c r="D14" s="121" t="n">
        <v>63</v>
      </c>
      <c r="G14" s="121" t="inlineStr">
        <is>
          <t>Изолятор ПС-70Е - 126 шт
Зажим SL 30 - 30 шт</t>
        </is>
      </c>
    </row>
    <row r="15" ht="99.75" customHeight="1">
      <c r="B15" s="153" t="n">
        <v>5</v>
      </c>
      <c r="C15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120" t="inlineStr">
        <is>
          <t>Зажим натяжной болтовый НБ-2-6
Соединитель алюминиевых и сталеалюминиевых проводов (СОАС) 062-3
Изолятор линейный штыревой фарфоровый ШФ 20-Г</t>
        </is>
      </c>
      <c r="G15" s="120" t="inlineStr">
        <is>
          <t>Зажимы оперативные ответвительные марки SL 30
Изоляторы стеклянные подвесные ПС-70Е</t>
        </is>
      </c>
    </row>
    <row r="16" ht="78.75" customHeight="1">
      <c r="B16" s="153" t="n">
        <v>6</v>
      </c>
      <c r="C16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81">
        <f>'Прил.2 Расч стоим'!J12</f>
        <v/>
      </c>
    </row>
    <row r="17" ht="15.75" customHeight="1">
      <c r="B17" s="138" t="inlineStr">
        <is>
          <t>6.1</t>
        </is>
      </c>
      <c r="C17" s="79" t="inlineStr">
        <is>
          <t>строительно-монтажные работы</t>
        </is>
      </c>
      <c r="D17" s="81">
        <f>'Прил.2 Расч стоим'!F12+'Прил.2 Расч стоим'!G12</f>
        <v/>
      </c>
    </row>
    <row r="18" ht="15.75" customHeight="1">
      <c r="B18" s="138" t="inlineStr">
        <is>
          <t>6.2</t>
        </is>
      </c>
      <c r="C18" s="79" t="inlineStr">
        <is>
          <t>оборудование и инвентарь</t>
        </is>
      </c>
      <c r="D18" s="81">
        <f>'Прил.2 Расч стоим'!H12</f>
        <v/>
      </c>
    </row>
    <row r="19" ht="15.75" customHeight="1">
      <c r="B19" s="138" t="inlineStr">
        <is>
          <t>6.3</t>
        </is>
      </c>
      <c r="C19" s="79" t="inlineStr">
        <is>
          <t>пусконаладочные работы</t>
        </is>
      </c>
      <c r="D19" s="81" t="n">
        <v>0</v>
      </c>
    </row>
    <row r="20" ht="15.75" customHeight="1">
      <c r="B20" s="138" t="inlineStr">
        <is>
          <t>6.4</t>
        </is>
      </c>
      <c r="C20" s="79" t="inlineStr">
        <is>
          <t>прочие и лимитированные затраты</t>
        </is>
      </c>
      <c r="D20" s="81" t="n">
        <v>0</v>
      </c>
    </row>
    <row r="21" ht="15.75" customHeight="1">
      <c r="B21" s="153" t="n">
        <v>7</v>
      </c>
      <c r="C21" s="79" t="inlineStr">
        <is>
          <t>Сопоставимый уровень цен</t>
        </is>
      </c>
      <c r="D21" s="80" t="inlineStr">
        <is>
          <t>1 квартал 2018 г</t>
        </is>
      </c>
      <c r="G21" s="110" t="n"/>
    </row>
    <row r="22" ht="110.25" customHeight="1">
      <c r="B22" s="153" t="n">
        <v>8</v>
      </c>
      <c r="C22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81">
        <f>D16</f>
        <v/>
      </c>
    </row>
    <row r="23" ht="47.25" customHeight="1">
      <c r="B23" s="153" t="n">
        <v>9</v>
      </c>
      <c r="C23" s="38" t="inlineStr">
        <is>
          <t>Приведенная сметная стоимость на единицу мощности, тыс. руб. (строка 8/строку 4)</t>
        </is>
      </c>
      <c r="D23" s="81">
        <f>D22/D14</f>
        <v/>
      </c>
      <c r="G23" s="110" t="n"/>
    </row>
    <row r="24" hidden="1" ht="110.25" customHeight="1">
      <c r="B24" s="153" t="n">
        <v>10</v>
      </c>
      <c r="C24" s="79" t="inlineStr">
        <is>
          <t>Примечание</t>
        </is>
      </c>
      <c r="D24" s="7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>
      <c r="B25" s="103" t="n"/>
      <c r="C25" s="104" t="n"/>
      <c r="D25" s="104" t="n"/>
    </row>
    <row r="26">
      <c r="B26" s="123" t="inlineStr">
        <is>
          <t>Составил ______________________        А.П. Николаева</t>
        </is>
      </c>
      <c r="C26" s="133" t="n"/>
    </row>
    <row r="27">
      <c r="B27" s="134" t="inlineStr">
        <is>
          <t xml:space="preserve">                         (подпись, инициалы, фамилия)</t>
        </is>
      </c>
      <c r="C27" s="133" t="n"/>
    </row>
    <row r="28">
      <c r="B28" s="123" t="n"/>
      <c r="C28" s="133" t="n"/>
    </row>
    <row r="29">
      <c r="B29" s="123" t="inlineStr">
        <is>
          <t>Проверил ______________________        А.В. Костянецкая</t>
        </is>
      </c>
      <c r="C29" s="133" t="n"/>
    </row>
    <row r="30">
      <c r="B30" s="134" t="inlineStr">
        <is>
          <t xml:space="preserve">                        (подпись, инициалы, фамилия)</t>
        </is>
      </c>
      <c r="C30" s="133" t="n"/>
    </row>
    <row r="31" ht="15.75" customHeight="1">
      <c r="B31" s="104" t="n"/>
      <c r="C31" s="104" t="n"/>
      <c r="D31" s="104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9.7109375" customWidth="1" min="4" max="4"/>
    <col width="25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C3" s="103" t="n"/>
      <c r="D3" s="103" t="n"/>
      <c r="E3" s="103" t="n"/>
      <c r="F3" s="103" t="n"/>
      <c r="G3" s="103" t="n"/>
      <c r="H3" s="103" t="n"/>
      <c r="I3" s="103" t="n"/>
      <c r="J3" s="146" t="inlineStr">
        <is>
          <t>Приложение № 2</t>
        </is>
      </c>
      <c r="K3" s="103" t="n"/>
    </row>
    <row r="4" ht="15.75" customHeight="1">
      <c r="B4" s="150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39.75" customHeight="1">
      <c r="B6" s="149">
        <f>'Прил.1 Сравнит табл'!B6</f>
        <v/>
      </c>
      <c r="D6" s="151">
        <f>'Прил.1 Сравнит табл'!D6</f>
        <v/>
      </c>
      <c r="K6" s="103" t="n"/>
    </row>
    <row r="7" ht="15.75" customHeight="1">
      <c r="B7" s="103">
        <f>'Прил.1 Сравнит табл'!B8</f>
        <v/>
      </c>
      <c r="C7" s="103" t="n"/>
      <c r="D7" s="103" t="n"/>
      <c r="E7" s="103" t="n"/>
      <c r="F7" s="103" t="n"/>
      <c r="G7" s="103" t="n"/>
      <c r="H7" s="103" t="n"/>
      <c r="I7" s="103" t="n"/>
      <c r="J7" s="103" t="n"/>
      <c r="K7" s="103" t="n"/>
    </row>
    <row r="8" ht="18.75" customHeight="1">
      <c r="B8" s="36" t="n"/>
    </row>
    <row r="9" ht="15.75" customHeight="1">
      <c r="B9" s="153" t="inlineStr">
        <is>
          <t>№ п/п</t>
        </is>
      </c>
      <c r="C9" s="1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3" t="inlineStr">
        <is>
          <t>Объект-представитель 1</t>
        </is>
      </c>
      <c r="E9" s="189" t="n"/>
      <c r="F9" s="189" t="n"/>
      <c r="G9" s="189" t="n"/>
      <c r="H9" s="189" t="n"/>
      <c r="I9" s="189" t="n"/>
      <c r="J9" s="190" t="n"/>
    </row>
    <row r="10" ht="15.75" customHeight="1">
      <c r="B10" s="191" t="n"/>
      <c r="C10" s="191" t="n"/>
      <c r="D10" s="153" t="inlineStr">
        <is>
          <t>Номер сметы</t>
        </is>
      </c>
      <c r="E10" s="153" t="inlineStr">
        <is>
          <t>Наименование сметы</t>
        </is>
      </c>
      <c r="F10" s="153" t="inlineStr">
        <is>
          <t>Сметная стоимость в уровне цен 1 кв. 2018г., тыс. руб.</t>
        </is>
      </c>
      <c r="G10" s="189" t="n"/>
      <c r="H10" s="189" t="n"/>
      <c r="I10" s="189" t="n"/>
      <c r="J10" s="190" t="n"/>
    </row>
    <row r="11" ht="78.75" customHeight="1">
      <c r="B11" s="192" t="n"/>
      <c r="C11" s="192" t="n"/>
      <c r="D11" s="192" t="n"/>
      <c r="E11" s="192" t="n"/>
      <c r="F11" s="153" t="inlineStr">
        <is>
          <t>Строительные работы</t>
        </is>
      </c>
      <c r="G11" s="153" t="inlineStr">
        <is>
          <t>Монтажные работы</t>
        </is>
      </c>
      <c r="H11" s="153" t="inlineStr">
        <is>
          <t>Оборудование</t>
        </is>
      </c>
      <c r="I11" s="153" t="inlineStr">
        <is>
          <t>Прочее</t>
        </is>
      </c>
      <c r="J11" s="153" t="inlineStr">
        <is>
          <t>Всего</t>
        </is>
      </c>
    </row>
    <row r="12" ht="100.5" customFormat="1" customHeight="1" s="135">
      <c r="B12" s="136" t="n">
        <v>1</v>
      </c>
      <c r="C12" s="153" t="inlineStr">
        <is>
          <t>Зажим натяжной болтовый НБ-2-6
Соединитель алюминиевых и сталеалюминиевых проводов (СОАС) 062-3
Изолятор линейный штыревой фарфоровый ШФ 20-Г</t>
        </is>
      </c>
      <c r="D12" s="138" t="inlineStr">
        <is>
          <t>18-121-10</t>
        </is>
      </c>
      <c r="E12" s="139" t="inlineStr">
        <is>
          <t>Строительство ВЛ 10 кВ</t>
        </is>
      </c>
      <c r="F12" s="140">
        <f>(262045.18)/1000</f>
        <v/>
      </c>
      <c r="G12" s="140">
        <f>1319240.99/1000</f>
        <v/>
      </c>
      <c r="H12" s="140">
        <f>272774.9/1000</f>
        <v/>
      </c>
      <c r="I12" s="141" t="n"/>
      <c r="J12" s="142">
        <f>SUM(F12:I12)</f>
        <v/>
      </c>
    </row>
    <row r="13" ht="15.75" customHeight="1">
      <c r="B13" s="152" t="inlineStr">
        <is>
          <t>Всего по объекту:</t>
        </is>
      </c>
      <c r="C13" s="189" t="n"/>
      <c r="D13" s="189" t="n"/>
      <c r="E13" s="190" t="n"/>
      <c r="F13" s="143">
        <f>F12</f>
        <v/>
      </c>
      <c r="G13" s="143">
        <f>G12</f>
        <v/>
      </c>
      <c r="H13" s="143">
        <f>H12</f>
        <v/>
      </c>
      <c r="I13" s="143" t="n"/>
      <c r="J13" s="143">
        <f>J12</f>
        <v/>
      </c>
    </row>
    <row r="14" ht="15.75" customHeight="1">
      <c r="B14" s="152" t="inlineStr">
        <is>
          <t>Всего по объекту в сопоставимом уровне цен 1 кв. 2018 г:</t>
        </is>
      </c>
      <c r="C14" s="189" t="n"/>
      <c r="D14" s="189" t="n"/>
      <c r="E14" s="190" t="n"/>
      <c r="F14" s="143">
        <f>F13</f>
        <v/>
      </c>
      <c r="G14" s="143">
        <f>G13</f>
        <v/>
      </c>
      <c r="H14" s="143">
        <f>H13</f>
        <v/>
      </c>
      <c r="I14" s="143" t="n"/>
      <c r="J14" s="143">
        <f>J13</f>
        <v/>
      </c>
    </row>
    <row r="18">
      <c r="C18" s="123" t="inlineStr">
        <is>
          <t>Составил ______________________        А.П. Николаева</t>
        </is>
      </c>
      <c r="D18" s="133" t="n"/>
    </row>
    <row r="19">
      <c r="C19" s="134" t="inlineStr">
        <is>
          <t xml:space="preserve">                         (подпись, инициалы, фамилия)</t>
        </is>
      </c>
      <c r="D19" s="133" t="n"/>
    </row>
    <row r="20">
      <c r="C20" s="123" t="n"/>
      <c r="D20" s="133" t="n"/>
    </row>
    <row r="21">
      <c r="C21" s="123" t="inlineStr">
        <is>
          <t>Проверил ______________________        А.В. Костянецкая</t>
        </is>
      </c>
      <c r="D21" s="133" t="n"/>
    </row>
    <row r="22">
      <c r="C22" s="134" t="inlineStr">
        <is>
          <t xml:space="preserve">                        (подпись, инициалы, фамилия)</t>
        </is>
      </c>
      <c r="D22" s="133" t="n"/>
    </row>
  </sheetData>
  <mergeCells count="11">
    <mergeCell ref="B6:C6"/>
    <mergeCell ref="D10:D11"/>
    <mergeCell ref="B4:K4"/>
    <mergeCell ref="D9:J9"/>
    <mergeCell ref="B13:E13"/>
    <mergeCell ref="F10:J10"/>
    <mergeCell ref="D6:J6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54"/>
  <sheetViews>
    <sheetView view="pageBreakPreview" topLeftCell="A31" zoomScaleSheetLayoutView="100" workbookViewId="0">
      <selection activeCell="D182" sqref="D182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1" ht="15.75" customHeight="1">
      <c r="A1" s="146" t="inlineStr">
        <is>
          <t xml:space="preserve">Приложение № 3 </t>
        </is>
      </c>
    </row>
    <row r="2" ht="18.75" customHeight="1">
      <c r="A2" s="147" t="inlineStr">
        <is>
          <t>Объектная ресурсная ведомость</t>
        </is>
      </c>
    </row>
    <row r="3">
      <c r="B3" s="108" t="n"/>
    </row>
    <row r="4" ht="18.75" customHeight="1">
      <c r="A4" s="147" t="n"/>
      <c r="B4" s="147" t="n"/>
      <c r="C4" s="1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8.75" customHeight="1">
      <c r="A5" s="36" t="n"/>
    </row>
    <row r="6" ht="32.25" customHeight="1">
      <c r="A6" s="149">
        <f>'Прил.1 Сравнит табл'!B6</f>
        <v/>
      </c>
      <c r="D6" s="151">
        <f>'Прил.1 Сравнит табл'!D6</f>
        <v/>
      </c>
    </row>
    <row r="7" hidden="1" ht="42" customHeight="1">
      <c r="A7" s="149" t="n"/>
      <c r="B7" s="149" t="n"/>
      <c r="C7" s="149" t="n"/>
      <c r="D7" s="103" t="n"/>
      <c r="E7" s="159" t="n"/>
      <c r="F7" s="159" t="n"/>
      <c r="G7" s="159" t="n"/>
      <c r="H7" s="159" t="n"/>
    </row>
    <row r="8" ht="15.75" customHeight="1">
      <c r="A8" s="151" t="n"/>
      <c r="B8" s="151" t="n"/>
      <c r="C8" s="151" t="n"/>
      <c r="D8" s="151" t="n"/>
      <c r="E8" s="151" t="n"/>
      <c r="F8" s="151" t="n"/>
      <c r="G8" s="151" t="n"/>
      <c r="H8" s="76" t="n"/>
    </row>
    <row r="9" ht="38.25" customHeight="1">
      <c r="A9" s="153" t="inlineStr">
        <is>
          <t>п/п</t>
        </is>
      </c>
      <c r="B9" s="153" t="inlineStr">
        <is>
          <t>№ЛСР</t>
        </is>
      </c>
      <c r="C9" s="153" t="inlineStr">
        <is>
          <t>Код ресурса</t>
        </is>
      </c>
      <c r="D9" s="153" t="inlineStr">
        <is>
          <t>Наименование ресурса</t>
        </is>
      </c>
      <c r="E9" s="153" t="inlineStr">
        <is>
          <t>Ед. изм.</t>
        </is>
      </c>
      <c r="F9" s="153" t="inlineStr">
        <is>
          <t>Кол-во единиц по данным объекта-представителя</t>
        </is>
      </c>
      <c r="G9" s="153" t="inlineStr">
        <is>
          <t>Сметная стоимость в ценах на 01.01.2000 (руб.)</t>
        </is>
      </c>
      <c r="H9" s="190" t="n"/>
    </row>
    <row r="10" ht="40.5" customHeight="1">
      <c r="A10" s="192" t="n"/>
      <c r="B10" s="192" t="n"/>
      <c r="C10" s="192" t="n"/>
      <c r="D10" s="192" t="n"/>
      <c r="E10" s="192" t="n"/>
      <c r="F10" s="192" t="n"/>
      <c r="G10" s="153" t="inlineStr">
        <is>
          <t>на ед.изм.</t>
        </is>
      </c>
      <c r="H10" s="153" t="inlineStr">
        <is>
          <t>общая</t>
        </is>
      </c>
    </row>
    <row r="11" ht="15.75" customHeight="1">
      <c r="A11" s="153" t="n">
        <v>1</v>
      </c>
      <c r="B11" s="51" t="n"/>
      <c r="C11" s="153" t="n">
        <v>2</v>
      </c>
      <c r="D11" s="153" t="inlineStr">
        <is>
          <t>З</t>
        </is>
      </c>
      <c r="E11" s="153" t="n">
        <v>4</v>
      </c>
      <c r="F11" s="153" t="n">
        <v>5</v>
      </c>
      <c r="G11" s="51" t="n">
        <v>6</v>
      </c>
      <c r="H11" s="51" t="n">
        <v>7</v>
      </c>
    </row>
    <row r="12" ht="15" customHeight="1">
      <c r="A12" s="155" t="inlineStr">
        <is>
          <t>Затраты труда рабочих</t>
        </is>
      </c>
      <c r="B12" s="189" t="n"/>
      <c r="C12" s="189" t="n"/>
      <c r="D12" s="189" t="n"/>
      <c r="E12" s="189" t="n"/>
      <c r="F12" s="52">
        <f>SUM(F13:F15)</f>
        <v/>
      </c>
      <c r="G12" s="53" t="n"/>
      <c r="H12" s="52">
        <f>SUM(H13:H15)</f>
        <v/>
      </c>
      <c r="J12" s="82" t="n"/>
      <c r="K12" s="18" t="n"/>
    </row>
    <row r="13">
      <c r="A13" s="44" t="n">
        <v>1</v>
      </c>
      <c r="B13" s="77" t="n"/>
      <c r="C13" s="44" t="inlineStr">
        <is>
          <t>1-3-9</t>
        </is>
      </c>
      <c r="D13" s="45" t="inlineStr">
        <is>
          <t>Затраты труда рабочих (ср 3,9)</t>
        </is>
      </c>
      <c r="E13" s="181" t="inlineStr">
        <is>
          <t>чел.-ч</t>
        </is>
      </c>
      <c r="F13" s="111" t="n">
        <v>43.54742</v>
      </c>
      <c r="G13" s="47" t="n">
        <v>9.51</v>
      </c>
      <c r="H13" s="47">
        <f>ROUND(F13*G13,2)</f>
        <v/>
      </c>
    </row>
    <row r="14">
      <c r="A14" s="48">
        <f>A13+1</f>
        <v/>
      </c>
      <c r="B14" s="77" t="n"/>
      <c r="C14" s="44" t="inlineStr">
        <is>
          <t>1-4-0</t>
        </is>
      </c>
      <c r="D14" s="45" t="inlineStr">
        <is>
          <t>Затраты труда рабочих (ср 4)</t>
        </is>
      </c>
      <c r="E14" s="181" t="inlineStr">
        <is>
          <t>чел.-ч</t>
        </is>
      </c>
      <c r="F14" s="111" t="n">
        <v>25.44</v>
      </c>
      <c r="G14" s="47" t="n">
        <v>9.619999999999999</v>
      </c>
      <c r="H14" s="47">
        <f>ROUND(F14*G14,2)</f>
        <v/>
      </c>
    </row>
    <row r="15">
      <c r="A15" s="48">
        <f>A14+1</f>
        <v/>
      </c>
      <c r="B15" s="77" t="n"/>
      <c r="C15" s="44" t="inlineStr">
        <is>
          <t>1-3-6</t>
        </is>
      </c>
      <c r="D15" s="45" t="inlineStr">
        <is>
          <t>Затраты труда рабочих (ср 3,6)</t>
        </is>
      </c>
      <c r="E15" s="181" t="inlineStr">
        <is>
          <t>чел.-ч</t>
        </is>
      </c>
      <c r="F15" s="111" t="n">
        <v>3.0199</v>
      </c>
      <c r="G15" s="47" t="n">
        <v>9.18</v>
      </c>
      <c r="H15" s="47">
        <f>ROUND(F15*G15,2)</f>
        <v/>
      </c>
    </row>
    <row r="16" ht="15" customHeight="1">
      <c r="A16" s="154" t="inlineStr">
        <is>
          <t>Затраты труда машинистов</t>
        </is>
      </c>
      <c r="B16" s="189" t="n"/>
      <c r="C16" s="189" t="n"/>
      <c r="D16" s="189" t="n"/>
      <c r="E16" s="190" t="n"/>
      <c r="F16" s="53" t="n"/>
      <c r="G16" s="53" t="n"/>
      <c r="H16" s="52">
        <f>H17</f>
        <v/>
      </c>
    </row>
    <row r="17">
      <c r="A17" s="48">
        <f>A15+1</f>
        <v/>
      </c>
      <c r="B17" s="77" t="n"/>
      <c r="C17" s="44" t="n">
        <v>2</v>
      </c>
      <c r="D17" s="45" t="inlineStr">
        <is>
          <t>Затраты труда машинистов</t>
        </is>
      </c>
      <c r="E17" s="181" t="inlineStr">
        <is>
          <t>чел.-ч</t>
        </is>
      </c>
      <c r="F17" s="181">
        <f>'Прил.5 Расчет СМР и ОБ'!E16</f>
        <v/>
      </c>
      <c r="G17" s="47" t="n"/>
      <c r="H17" s="41">
        <f>'Прил.5 Расчет СМР и ОБ'!G16</f>
        <v/>
      </c>
      <c r="L17" s="43" t="n"/>
    </row>
    <row r="18" ht="15" customHeight="1">
      <c r="A18" s="154" t="inlineStr">
        <is>
          <t>Машины и механизмы</t>
        </is>
      </c>
      <c r="B18" s="189" t="n"/>
      <c r="C18" s="189" t="n"/>
      <c r="D18" s="189" t="n"/>
      <c r="E18" s="190" t="n"/>
      <c r="F18" s="53" t="n"/>
      <c r="G18" s="53" t="n"/>
      <c r="H18" s="52">
        <f>SUM(H19:H22)</f>
        <v/>
      </c>
      <c r="K18" s="18" t="n"/>
    </row>
    <row r="19">
      <c r="A19" s="44">
        <f>A17+1</f>
        <v/>
      </c>
      <c r="B19" s="77" t="n"/>
      <c r="C19" s="64" t="inlineStr">
        <is>
          <t>91.06.06-011</t>
        </is>
      </c>
      <c r="D19" s="45" t="inlineStr">
        <is>
          <t>Автогидроподъемники, высота подъема 12 м</t>
        </is>
      </c>
      <c r="E19" s="181" t="inlineStr">
        <is>
          <t>маш.час</t>
        </is>
      </c>
      <c r="F19" s="181" t="n">
        <v>23.5586</v>
      </c>
      <c r="G19" s="49" t="n">
        <v>82.22</v>
      </c>
      <c r="H19" s="47">
        <f>ROUND(F19*G19,2)</f>
        <v/>
      </c>
    </row>
    <row r="20" ht="25.5" customHeight="1">
      <c r="A20" s="44">
        <f>A19+1</f>
        <v/>
      </c>
      <c r="B20" s="77" t="n"/>
      <c r="C20" s="64" t="inlineStr">
        <is>
          <t>91.15.03-014</t>
        </is>
      </c>
      <c r="D20" s="45" t="inlineStr">
        <is>
          <t>Тракторы на пневмоколесном ходу, мощность 59 кВт (80 л.с.)</t>
        </is>
      </c>
      <c r="E20" s="181" t="inlineStr">
        <is>
          <t>маш.час</t>
        </is>
      </c>
      <c r="F20" s="50" t="n">
        <v>5.854614</v>
      </c>
      <c r="G20" s="49" t="n">
        <v>74.61</v>
      </c>
      <c r="H20" s="47">
        <f>ROUND(F20*G20,2)</f>
        <v/>
      </c>
    </row>
    <row r="21">
      <c r="A21" s="44">
        <f>A20+1</f>
        <v/>
      </c>
      <c r="B21" s="77" t="n"/>
      <c r="C21" s="64" t="inlineStr">
        <is>
          <t>91.14.02-001</t>
        </is>
      </c>
      <c r="D21" s="45" t="inlineStr">
        <is>
          <t>Автомобили бортовые, грузоподъемность до 5 т</t>
        </is>
      </c>
      <c r="E21" s="181" t="inlineStr">
        <is>
          <t>маш.час</t>
        </is>
      </c>
      <c r="F21" s="181" t="n">
        <v>3.877292</v>
      </c>
      <c r="G21" s="49" t="n">
        <v>65.70999999999999</v>
      </c>
      <c r="H21" s="47">
        <f>ROUND(F21*G21,2)</f>
        <v/>
      </c>
    </row>
    <row r="22" ht="25.5" customHeight="1">
      <c r="A22" s="44">
        <f>A21+1</f>
        <v/>
      </c>
      <c r="B22" s="77" t="n"/>
      <c r="C22" s="64" t="inlineStr">
        <is>
          <t>91.17.04-233</t>
        </is>
      </c>
      <c r="D22" s="45" t="inlineStr">
        <is>
          <t>Установки для сварки ручной дуговой (постоянного тока)</t>
        </is>
      </c>
      <c r="E22" s="181" t="inlineStr">
        <is>
          <t>маш.час</t>
        </is>
      </c>
      <c r="F22" s="181" t="n">
        <v>0.2323</v>
      </c>
      <c r="G22" s="49" t="n">
        <v>8.1</v>
      </c>
      <c r="H22" s="47">
        <f>ROUND(F22*G22,2)</f>
        <v/>
      </c>
    </row>
    <row r="23" ht="15" customHeight="1">
      <c r="A23" s="154" t="inlineStr">
        <is>
          <t>Оборудование</t>
        </is>
      </c>
      <c r="B23" s="189" t="n"/>
      <c r="C23" s="189" t="n"/>
      <c r="D23" s="189" t="n"/>
      <c r="E23" s="190" t="n"/>
      <c r="F23" s="53" t="n"/>
      <c r="G23" s="53" t="n"/>
      <c r="H23" s="52">
        <f>SUM(H24:H24)</f>
        <v/>
      </c>
    </row>
    <row r="24" hidden="1">
      <c r="A24" s="48" t="n"/>
      <c r="B24" s="154" t="n"/>
      <c r="C24" s="44" t="inlineStr">
        <is>
          <t>Прайс из СД ОП</t>
        </is>
      </c>
      <c r="D24" s="45" t="n"/>
      <c r="E24" s="181" t="n"/>
      <c r="F24" s="181" t="n"/>
      <c r="G24" s="47" t="n"/>
      <c r="H24" s="47">
        <f>ROUND(F24*G24,2)</f>
        <v/>
      </c>
    </row>
    <row r="25" ht="15" customHeight="1">
      <c r="A25" s="154" t="inlineStr">
        <is>
          <t>Материалы</t>
        </is>
      </c>
      <c r="B25" s="189" t="n"/>
      <c r="C25" s="189" t="n"/>
      <c r="D25" s="189" t="n"/>
      <c r="E25" s="190" t="n"/>
      <c r="F25" s="53" t="n"/>
      <c r="G25" s="53" t="n"/>
      <c r="H25" s="52">
        <f>SUM(H26:H47)</f>
        <v/>
      </c>
      <c r="K25" s="18" t="n"/>
    </row>
    <row r="26">
      <c r="A26" s="44" t="inlineStr">
        <is>
          <t>9</t>
        </is>
      </c>
      <c r="B26" s="77" t="n"/>
      <c r="C26" s="64" t="inlineStr">
        <is>
          <t>20.5.04.04-0001</t>
        </is>
      </c>
      <c r="D26" s="45" t="inlineStr">
        <is>
          <t>Зажим натяжной болтовый НБ-2-6</t>
        </is>
      </c>
      <c r="E26" s="181" t="inlineStr">
        <is>
          <t>шт</t>
        </is>
      </c>
      <c r="F26" s="181" t="n">
        <v>63</v>
      </c>
      <c r="G26" s="47" t="n">
        <v>89.44</v>
      </c>
      <c r="H26" s="47">
        <f>ROUND(F26*G26,2)</f>
        <v/>
      </c>
    </row>
    <row r="27" ht="25.5" customHeight="1">
      <c r="A27" s="44" t="inlineStr">
        <is>
          <t>10</t>
        </is>
      </c>
      <c r="B27" s="77" t="n"/>
      <c r="C27" s="64" t="inlineStr">
        <is>
          <t>20.1.02.15-0011</t>
        </is>
      </c>
      <c r="D27" s="45" t="inlineStr">
        <is>
          <t>Соединитель алюминиевых и сталеалюминиевых проводов (СОАС) 062-3</t>
        </is>
      </c>
      <c r="E27" s="181" t="inlineStr">
        <is>
          <t>шт</t>
        </is>
      </c>
      <c r="F27" s="181" t="n">
        <v>43.69748</v>
      </c>
      <c r="G27" s="47" t="n">
        <v>88.14</v>
      </c>
      <c r="H27" s="47">
        <f>ROUND(F27*G27,2)</f>
        <v/>
      </c>
    </row>
    <row r="28">
      <c r="A28" s="44" t="inlineStr">
        <is>
          <t>11</t>
        </is>
      </c>
      <c r="B28" s="77" t="n"/>
      <c r="C28" s="64" t="inlineStr">
        <is>
          <t>22.2.01.04-0002</t>
        </is>
      </c>
      <c r="D28" s="45" t="inlineStr">
        <is>
          <t>Изолятор линейный штыревой фарфоровый ШФ 20-Г</t>
        </is>
      </c>
      <c r="E28" s="181" t="inlineStr">
        <is>
          <t>шт</t>
        </is>
      </c>
      <c r="F28" s="181" t="n">
        <v>61</v>
      </c>
      <c r="G28" s="47" t="n">
        <v>46.72</v>
      </c>
      <c r="H28" s="47">
        <f>ROUND(F28*G28,2)</f>
        <v/>
      </c>
    </row>
    <row r="29">
      <c r="A29" s="44" t="inlineStr">
        <is>
          <t>12</t>
        </is>
      </c>
      <c r="B29" s="77" t="n"/>
      <c r="C29" s="64" t="inlineStr">
        <is>
          <t>22.2.02.04-0041</t>
        </is>
      </c>
      <c r="D29" s="45" t="inlineStr">
        <is>
          <t>Звено промежуточное трехлапчатое ПРТ-7-1</t>
        </is>
      </c>
      <c r="E29" s="181" t="inlineStr">
        <is>
          <t>шт</t>
        </is>
      </c>
      <c r="F29" s="181" t="n">
        <v>75</v>
      </c>
      <c r="G29" s="47" t="n">
        <v>36.42</v>
      </c>
      <c r="H29" s="47">
        <f>ROUND(F29*G29,2)</f>
        <v/>
      </c>
    </row>
    <row r="30">
      <c r="A30" s="44" t="inlineStr">
        <is>
          <t>13</t>
        </is>
      </c>
      <c r="B30" s="77" t="n"/>
      <c r="C30" s="64" t="inlineStr">
        <is>
          <t>20.1.02.22-0005</t>
        </is>
      </c>
      <c r="D30" s="45" t="inlineStr">
        <is>
          <t>Ушко: однолапчатое У1-7-16</t>
        </is>
      </c>
      <c r="E30" s="181" t="inlineStr">
        <is>
          <t>шт</t>
        </is>
      </c>
      <c r="F30" s="181" t="n">
        <v>63</v>
      </c>
      <c r="G30" s="47" t="n">
        <v>39.32</v>
      </c>
      <c r="H30" s="47">
        <f>ROUND(F30*G30,2)</f>
        <v/>
      </c>
    </row>
    <row r="31">
      <c r="A31" s="44" t="inlineStr">
        <is>
          <t>14</t>
        </is>
      </c>
      <c r="B31" s="77" t="n"/>
      <c r="C31" s="64" t="inlineStr">
        <is>
          <t>20.1.01.11-0022</t>
        </is>
      </c>
      <c r="D31" s="45" t="inlineStr">
        <is>
          <t>Зажим соединительный: плашечный ПС-2-1</t>
        </is>
      </c>
      <c r="E31" s="181" t="inlineStr">
        <is>
          <t>шт</t>
        </is>
      </c>
      <c r="F31" s="181" t="n">
        <v>150</v>
      </c>
      <c r="G31" s="47" t="n">
        <v>12.53</v>
      </c>
      <c r="H31" s="47">
        <f>ROUND(F31*G31,2)</f>
        <v/>
      </c>
    </row>
    <row r="32">
      <c r="A32" s="44" t="inlineStr">
        <is>
          <t>15</t>
        </is>
      </c>
      <c r="B32" s="77" t="n"/>
      <c r="C32" s="64" t="inlineStr">
        <is>
          <t>20.1.01.11-0004</t>
        </is>
      </c>
      <c r="D32" s="45" t="inlineStr">
        <is>
          <t>Зажим: плашечный соединительный ПА 2-2</t>
        </is>
      </c>
      <c r="E32" s="181" t="inlineStr">
        <is>
          <t>шт</t>
        </is>
      </c>
      <c r="F32" s="181" t="n">
        <v>59</v>
      </c>
      <c r="G32" s="47" t="n">
        <v>6.78</v>
      </c>
      <c r="H32" s="47">
        <f>ROUND(F32*G32,2)</f>
        <v/>
      </c>
    </row>
    <row r="33">
      <c r="A33" s="44" t="inlineStr">
        <is>
          <t>16</t>
        </is>
      </c>
      <c r="B33" s="77" t="n"/>
      <c r="C33" s="64" t="inlineStr">
        <is>
          <t>20.1.01.02-0047</t>
        </is>
      </c>
      <c r="D33" s="45" t="inlineStr">
        <is>
          <t>Зажим аппаратный прессуемый: А2А-70-2</t>
        </is>
      </c>
      <c r="E33" s="181" t="inlineStr">
        <is>
          <t>100 шт</t>
        </is>
      </c>
      <c r="F33" s="181" t="n">
        <v>0.18</v>
      </c>
      <c r="G33" s="47" t="n">
        <v>2089</v>
      </c>
      <c r="H33" s="47">
        <f>ROUND(F33*G33,2)</f>
        <v/>
      </c>
    </row>
    <row r="34">
      <c r="A34" s="44" t="inlineStr">
        <is>
          <t>17</t>
        </is>
      </c>
      <c r="B34" s="77" t="n"/>
      <c r="C34" s="64" t="inlineStr">
        <is>
          <t>10.1.02.03-0002</t>
        </is>
      </c>
      <c r="D34" s="45" t="inlineStr">
        <is>
          <t>Проволока алюминиевая, диаметр 3 мм</t>
        </is>
      </c>
      <c r="E34" s="181" t="inlineStr">
        <is>
          <t>т</t>
        </is>
      </c>
      <c r="F34" s="181" t="n">
        <v>0.0077827</v>
      </c>
      <c r="G34" s="47" t="n">
        <v>29010.49</v>
      </c>
      <c r="H34" s="47">
        <f>ROUND(F34*G34,2)</f>
        <v/>
      </c>
    </row>
    <row r="35" ht="38.25" customHeight="1">
      <c r="A35" s="44" t="inlineStr">
        <is>
          <t>18</t>
        </is>
      </c>
      <c r="B35" s="77" t="n"/>
      <c r="C35" s="64" t="inlineStr">
        <is>
          <t>25.2.02.11-0021</t>
        </is>
      </c>
      <c r="D35" s="45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5" s="181" t="inlineStr">
        <is>
          <t>шт</t>
        </is>
      </c>
      <c r="F35" s="181" t="n">
        <v>0.2</v>
      </c>
      <c r="G35" s="47" t="n">
        <v>943.0599999999999</v>
      </c>
      <c r="H35" s="47">
        <f>ROUND(F35*G35,2)</f>
        <v/>
      </c>
    </row>
    <row r="36">
      <c r="A36" s="44" t="inlineStr">
        <is>
          <t>19</t>
        </is>
      </c>
      <c r="B36" s="77" t="n"/>
      <c r="C36" s="64" t="inlineStr">
        <is>
          <t>20.2.02.03-0011</t>
        </is>
      </c>
      <c r="D36" s="45" t="inlineStr">
        <is>
          <t>Кожух защитный для соединений проводов</t>
        </is>
      </c>
      <c r="E36" s="181" t="inlineStr">
        <is>
          <t>шт</t>
        </is>
      </c>
      <c r="F36" s="181" t="n">
        <v>1</v>
      </c>
      <c r="G36" s="47" t="n">
        <v>161.1</v>
      </c>
      <c r="H36" s="47">
        <f>ROUND(F36*G36,2)</f>
        <v/>
      </c>
    </row>
    <row r="37">
      <c r="A37" s="44" t="inlineStr">
        <is>
          <t>20</t>
        </is>
      </c>
      <c r="B37" s="77" t="n"/>
      <c r="C37" s="64" t="inlineStr">
        <is>
          <t>20.1.02.23-0082</t>
        </is>
      </c>
      <c r="D37" s="45" t="inlineStr">
        <is>
          <t>Перемычки гибкие, тип ПГС-50</t>
        </is>
      </c>
      <c r="E37" s="181" t="inlineStr">
        <is>
          <t>10 шт</t>
        </is>
      </c>
      <c r="F37" s="181" t="n">
        <v>2.323</v>
      </c>
      <c r="G37" s="47" t="n">
        <v>39</v>
      </c>
      <c r="H37" s="47">
        <f>ROUND(F37*G37,2)</f>
        <v/>
      </c>
    </row>
    <row r="38" ht="25.5" customHeight="1">
      <c r="A38" s="44" t="inlineStr">
        <is>
          <t>21</t>
        </is>
      </c>
      <c r="B38" s="77" t="n"/>
      <c r="C38" s="64" t="inlineStr">
        <is>
          <t>25.2.02.11-0051</t>
        </is>
      </c>
      <c r="D38" s="45" t="inlineStr">
        <is>
          <t>Скрепа для фиксации на промежуточных опорах, размер 20 мм</t>
        </is>
      </c>
      <c r="E38" s="181" t="inlineStr">
        <is>
          <t>100 шт</t>
        </is>
      </c>
      <c r="F38" s="181" t="n">
        <v>0.06</v>
      </c>
      <c r="G38" s="47" t="n">
        <v>582</v>
      </c>
      <c r="H38" s="47">
        <f>ROUND(F38*G38,2)</f>
        <v/>
      </c>
    </row>
    <row r="39">
      <c r="A39" s="44" t="inlineStr">
        <is>
          <t>22</t>
        </is>
      </c>
      <c r="B39" s="77" t="n"/>
      <c r="C39" s="64" t="inlineStr">
        <is>
          <t>01.7.15.03-0042</t>
        </is>
      </c>
      <c r="D39" s="45" t="inlineStr">
        <is>
          <t>Болты с гайками и шайбами строительные</t>
        </is>
      </c>
      <c r="E39" s="181" t="inlineStr">
        <is>
          <t>кг</t>
        </is>
      </c>
      <c r="F39" s="181" t="n">
        <v>2.46238</v>
      </c>
      <c r="G39" s="47" t="n">
        <v>9.039999999999999</v>
      </c>
      <c r="H39" s="47">
        <f>ROUND(F39*G39,2)</f>
        <v/>
      </c>
    </row>
    <row r="40">
      <c r="A40" s="44" t="inlineStr">
        <is>
          <t>23</t>
        </is>
      </c>
      <c r="B40" s="77" t="n"/>
      <c r="C40" s="64" t="inlineStr">
        <is>
          <t>01.7.15.07-0014</t>
        </is>
      </c>
      <c r="D40" s="45" t="inlineStr">
        <is>
          <t>Дюбели распорные полипропиленовые</t>
        </is>
      </c>
      <c r="E40" s="181" t="inlineStr">
        <is>
          <t>100 шт</t>
        </is>
      </c>
      <c r="F40" s="181" t="n">
        <v>0.2323</v>
      </c>
      <c r="G40" s="47" t="n">
        <v>86</v>
      </c>
      <c r="H40" s="47">
        <f>ROUND(F40*G40,2)</f>
        <v/>
      </c>
    </row>
    <row r="41">
      <c r="A41" s="44" t="inlineStr">
        <is>
          <t>24</t>
        </is>
      </c>
      <c r="B41" s="77" t="n"/>
      <c r="C41" s="64" t="inlineStr">
        <is>
          <t>01.3.01.06-0038</t>
        </is>
      </c>
      <c r="D41" s="45" t="inlineStr">
        <is>
          <t>Смазка защитная электросетевая</t>
        </is>
      </c>
      <c r="E41" s="181" t="inlineStr">
        <is>
          <t>кг</t>
        </is>
      </c>
      <c r="F41" s="181" t="n">
        <v>1.28522</v>
      </c>
      <c r="G41" s="47" t="n">
        <v>14.4</v>
      </c>
      <c r="H41" s="47">
        <f>ROUND(F41*G41,2)</f>
        <v/>
      </c>
    </row>
    <row r="42">
      <c r="A42" s="44" t="inlineStr">
        <is>
          <t>25</t>
        </is>
      </c>
      <c r="B42" s="77" t="n"/>
      <c r="C42" s="64" t="inlineStr">
        <is>
          <t>14.4.02.09-0001</t>
        </is>
      </c>
      <c r="D42" s="45" t="inlineStr">
        <is>
          <t>Краска</t>
        </is>
      </c>
      <c r="E42" s="181" t="inlineStr">
        <is>
          <t>кг</t>
        </is>
      </c>
      <c r="F42" s="181" t="n">
        <v>0.4646</v>
      </c>
      <c r="G42" s="47" t="n">
        <v>28.6</v>
      </c>
      <c r="H42" s="47">
        <f>ROUND(F42*G42,2)</f>
        <v/>
      </c>
    </row>
    <row r="43">
      <c r="A43" s="44" t="inlineStr">
        <is>
          <t>26</t>
        </is>
      </c>
      <c r="B43" s="77" t="n"/>
      <c r="C43" s="64" t="inlineStr">
        <is>
          <t>08.3.03.06-0001</t>
        </is>
      </c>
      <c r="D43" s="45" t="inlineStr">
        <is>
          <t>Проволока вязальная</t>
        </is>
      </c>
      <c r="E43" s="181" t="inlineStr">
        <is>
          <t>кг</t>
        </is>
      </c>
      <c r="F43" s="181" t="n">
        <v>1.2936</v>
      </c>
      <c r="G43" s="47" t="n">
        <v>9.5</v>
      </c>
      <c r="H43" s="47">
        <f>ROUND(F43*G43,2)</f>
        <v/>
      </c>
    </row>
    <row r="44">
      <c r="A44" s="44" t="inlineStr">
        <is>
          <t>27</t>
        </is>
      </c>
      <c r="B44" s="77" t="n"/>
      <c r="C44" s="64" t="inlineStr">
        <is>
          <t>01.3.01.01-0010</t>
        </is>
      </c>
      <c r="D44" s="45" t="inlineStr">
        <is>
          <t>Бензин-растворитель</t>
        </is>
      </c>
      <c r="E44" s="181" t="inlineStr">
        <is>
          <t>кг</t>
        </is>
      </c>
      <c r="F44" s="181" t="n">
        <v>0.771132</v>
      </c>
      <c r="G44" s="47" t="n">
        <v>6.15</v>
      </c>
      <c r="H44" s="47">
        <f>ROUND(F44*G44,2)</f>
        <v/>
      </c>
    </row>
    <row r="45">
      <c r="A45" s="44" t="inlineStr">
        <is>
          <t>28</t>
        </is>
      </c>
      <c r="B45" s="77" t="n"/>
      <c r="C45" s="64" t="inlineStr">
        <is>
          <t>14.5.09.11-0102</t>
        </is>
      </c>
      <c r="D45" s="45" t="inlineStr">
        <is>
          <t>Уайт-спирит</t>
        </is>
      </c>
      <c r="E45" s="181" t="inlineStr">
        <is>
          <t>кг</t>
        </is>
      </c>
      <c r="F45" s="181" t="n">
        <v>0.547484</v>
      </c>
      <c r="G45" s="47" t="n">
        <v>6.67</v>
      </c>
      <c r="H45" s="47">
        <f>ROUND(F45*G45,2)</f>
        <v/>
      </c>
    </row>
    <row r="46">
      <c r="A46" s="44" t="inlineStr">
        <is>
          <t>29</t>
        </is>
      </c>
      <c r="B46" s="77" t="n"/>
      <c r="C46" s="64" t="inlineStr">
        <is>
          <t>01.7.20.08-0051</t>
        </is>
      </c>
      <c r="D46" s="45" t="inlineStr">
        <is>
          <t>Ветошь</t>
        </is>
      </c>
      <c r="E46" s="181" t="inlineStr">
        <is>
          <t>кг</t>
        </is>
      </c>
      <c r="F46" s="181" t="n">
        <v>0.64261</v>
      </c>
      <c r="G46" s="47" t="n">
        <v>1.82</v>
      </c>
      <c r="H46" s="47">
        <f>ROUND(F46*G46,2)</f>
        <v/>
      </c>
    </row>
    <row r="47" ht="25.5" customHeight="1">
      <c r="A47" s="44" t="inlineStr">
        <is>
          <t>30</t>
        </is>
      </c>
      <c r="B47" s="77" t="n"/>
      <c r="C47" s="64" t="inlineStr">
        <is>
          <t>999-9950</t>
        </is>
      </c>
      <c r="D47" s="45" t="inlineStr">
        <is>
          <t>Вспомогательные ненормируемые ресурсы (2% от Оплаты труда рабочих)</t>
        </is>
      </c>
      <c r="E47" s="181" t="inlineStr">
        <is>
          <t>руб</t>
        </is>
      </c>
      <c r="F47" s="181" t="n">
        <v>0.4646</v>
      </c>
      <c r="G47" s="47" t="n">
        <v>1</v>
      </c>
      <c r="H47" s="47">
        <f>ROUND(F47*G47,2)</f>
        <v/>
      </c>
    </row>
    <row r="48">
      <c r="K48" s="106" t="n"/>
    </row>
    <row r="50">
      <c r="B50" s="123" t="inlineStr">
        <is>
          <t>Составил ______________________        А.П. Николаева</t>
        </is>
      </c>
      <c r="C50" s="133" t="n"/>
    </row>
    <row r="51">
      <c r="B51" s="134" t="inlineStr">
        <is>
          <t xml:space="preserve">                         (подпись, инициалы, фамилия)</t>
        </is>
      </c>
      <c r="C51" s="133" t="n"/>
    </row>
    <row r="52">
      <c r="B52" s="123" t="n"/>
      <c r="C52" s="133" t="n"/>
    </row>
    <row r="53">
      <c r="B53" s="123" t="inlineStr">
        <is>
          <t>Проверил ______________________        А.В. Костянецкая</t>
        </is>
      </c>
      <c r="C53" s="133" t="n"/>
    </row>
    <row r="54">
      <c r="B54" s="134" t="inlineStr">
        <is>
          <t xml:space="preserve">                        (подпись, инициалы, фамилия)</t>
        </is>
      </c>
      <c r="C54" s="133" t="n"/>
    </row>
  </sheetData>
  <mergeCells count="17">
    <mergeCell ref="C9:C10"/>
    <mergeCell ref="B9:B10"/>
    <mergeCell ref="A12:E12"/>
    <mergeCell ref="E9:E10"/>
    <mergeCell ref="D9:D10"/>
    <mergeCell ref="D6:H6"/>
    <mergeCell ref="F9:F10"/>
    <mergeCell ref="A16:E16"/>
    <mergeCell ref="A9:A10"/>
    <mergeCell ref="A2:H2"/>
    <mergeCell ref="A25:E25"/>
    <mergeCell ref="A6:C6"/>
    <mergeCell ref="A23:E23"/>
    <mergeCell ref="C4:H4"/>
    <mergeCell ref="A1:H1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zoomScale="85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23" t="n"/>
      <c r="C1" s="123" t="n"/>
      <c r="D1" s="123" t="n"/>
      <c r="E1" s="180" t="inlineStr">
        <is>
          <t>Приложение № 4</t>
        </is>
      </c>
    </row>
    <row r="2" hidden="1">
      <c r="B2" s="123" t="n"/>
      <c r="C2" s="123" t="n"/>
      <c r="D2" s="123" t="n"/>
      <c r="E2" s="123" t="n"/>
    </row>
    <row r="3" hidden="1">
      <c r="B3" s="123" t="n"/>
      <c r="C3" s="123" t="n"/>
      <c r="D3" s="123" t="n"/>
      <c r="E3" s="123" t="n"/>
    </row>
    <row r="4">
      <c r="B4" s="158" t="inlineStr">
        <is>
          <t>Ресурсная модель</t>
        </is>
      </c>
    </row>
    <row r="5" ht="8.25" customHeight="1">
      <c r="B5" s="16" t="n"/>
      <c r="C5" s="123" t="n"/>
      <c r="D5" s="123" t="n"/>
      <c r="E5" s="123" t="n"/>
    </row>
    <row r="6" ht="67.5" customHeight="1">
      <c r="B6" s="149">
        <f>'Прил.1 Сравнит табл'!B6</f>
        <v/>
      </c>
      <c r="C6" s="159" t="n"/>
      <c r="D6" s="159">
        <f>'Прил.1 Сравнит табл'!D6</f>
        <v/>
      </c>
    </row>
    <row r="7" ht="15.75" customHeight="1">
      <c r="B7" s="149">
        <f>'Прил.1 Сравнит табл'!B8</f>
        <v/>
      </c>
      <c r="C7" s="149" t="n"/>
      <c r="D7" s="149" t="n"/>
      <c r="E7" s="149" t="n"/>
    </row>
    <row r="8" hidden="1" ht="15.75" customHeight="1">
      <c r="B8" s="149" t="n"/>
      <c r="C8" s="149" t="n"/>
      <c r="D8" s="149" t="n"/>
      <c r="E8" s="149" t="n"/>
    </row>
    <row r="9">
      <c r="B9" s="16" t="n"/>
      <c r="C9" s="123" t="n"/>
      <c r="D9" s="123" t="n"/>
      <c r="E9" s="123" t="n"/>
    </row>
    <row r="10" ht="51" customHeight="1">
      <c r="B10" s="161" t="inlineStr">
        <is>
          <t>Наименование</t>
        </is>
      </c>
      <c r="C10" s="161" t="inlineStr">
        <is>
          <t>Сметная стоимость в ценах на 01.01.2023
 (руб.)</t>
        </is>
      </c>
      <c r="D10" s="161" t="inlineStr">
        <is>
          <t>Удельный вес, 
(в СМР)</t>
        </is>
      </c>
      <c r="E10" s="16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28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7" t="inlineStr">
        <is>
          <t>Эксплуатация машин основных</t>
        </is>
      </c>
      <c r="C12" s="128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7" t="inlineStr">
        <is>
          <t>Эксплуатация машин прочих</t>
        </is>
      </c>
      <c r="C13" s="128">
        <f>'Прил.5 Расчет СМР и ОБ'!J24</f>
        <v/>
      </c>
      <c r="D13" s="55">
        <f>C13/$C$24</f>
        <v/>
      </c>
      <c r="E13" s="55">
        <f>C13/$C$40</f>
        <v/>
      </c>
    </row>
    <row r="14">
      <c r="B14" s="7" t="inlineStr">
        <is>
          <t>ЭКСПЛУАТАЦИЯ МАШИН, ВСЕГО:</t>
        </is>
      </c>
      <c r="C14" s="128">
        <f>C13+C12</f>
        <v/>
      </c>
      <c r="D14" s="55">
        <f>C14/$C$24</f>
        <v/>
      </c>
      <c r="E14" s="55">
        <f>C14/$C$40</f>
        <v/>
      </c>
    </row>
    <row r="15">
      <c r="B15" s="7" t="inlineStr">
        <is>
          <t>в том числе зарплата машинистов</t>
        </is>
      </c>
      <c r="C15" s="128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7" t="inlineStr">
        <is>
          <t>Материалы основные</t>
        </is>
      </c>
      <c r="C16" s="128">
        <f>'Прил.5 Расчет СМР и ОБ'!J42</f>
        <v/>
      </c>
      <c r="D16" s="55">
        <f>C16/$C$24</f>
        <v/>
      </c>
      <c r="E16" s="55">
        <f>C16/$C$40</f>
        <v/>
      </c>
    </row>
    <row r="17">
      <c r="B17" s="7" t="inlineStr">
        <is>
          <t>Материалы прочие</t>
        </is>
      </c>
      <c r="C17" s="128">
        <f>'Прил.5 Расчет СМР и ОБ'!J60</f>
        <v/>
      </c>
      <c r="D17" s="55">
        <f>C17/$C$24</f>
        <v/>
      </c>
      <c r="E17" s="55">
        <f>C17/$C$40</f>
        <v/>
      </c>
      <c r="G17" s="17" t="n"/>
    </row>
    <row r="18">
      <c r="B18" s="7" t="inlineStr">
        <is>
          <t>МАТЕРИАЛЫ, ВСЕГО:</t>
        </is>
      </c>
      <c r="C18" s="128">
        <f>C17+C16</f>
        <v/>
      </c>
      <c r="D18" s="55">
        <f>C18/$C$24</f>
        <v/>
      </c>
      <c r="E18" s="55">
        <f>C18/$C$40</f>
        <v/>
      </c>
    </row>
    <row r="19">
      <c r="B19" s="7" t="inlineStr">
        <is>
          <t>ИТОГО</t>
        </is>
      </c>
      <c r="C19" s="128">
        <f>C18+C14+C11</f>
        <v/>
      </c>
      <c r="D19" s="55" t="n"/>
      <c r="E19" s="7" t="n"/>
    </row>
    <row r="20">
      <c r="B20" s="7" t="inlineStr">
        <is>
          <t>Сметная прибыль, руб.</t>
        </is>
      </c>
      <c r="C20" s="128">
        <f>ROUND(C21*(C11+C15),2)</f>
        <v/>
      </c>
      <c r="D20" s="55">
        <f>C20/$C$24</f>
        <v/>
      </c>
      <c r="E20" s="55">
        <f>C20/$C$40</f>
        <v/>
      </c>
    </row>
    <row r="21">
      <c r="B21" s="7" t="inlineStr">
        <is>
          <t>Сметная прибыль, %</t>
        </is>
      </c>
      <c r="C21" s="57">
        <f>'Прил.5 Расчет СМР и ОБ'!E64</f>
        <v/>
      </c>
      <c r="D21" s="55" t="n"/>
      <c r="E21" s="7" t="n"/>
    </row>
    <row r="22">
      <c r="B22" s="7" t="inlineStr">
        <is>
          <t>Накладные расходы, руб.</t>
        </is>
      </c>
      <c r="C22" s="128">
        <f>ROUND(C23*(C11+C15),2)</f>
        <v/>
      </c>
      <c r="D22" s="55">
        <f>C22/$C$24</f>
        <v/>
      </c>
      <c r="E22" s="55">
        <f>C22/$C$40</f>
        <v/>
      </c>
    </row>
    <row r="23">
      <c r="B23" s="7" t="inlineStr">
        <is>
          <t>Накладные расходы, %</t>
        </is>
      </c>
      <c r="C23" s="57">
        <f>'Прил.5 Расчет СМР и ОБ'!E63</f>
        <v/>
      </c>
      <c r="D23" s="55" t="n"/>
      <c r="E23" s="7" t="n"/>
    </row>
    <row r="24">
      <c r="B24" s="7" t="inlineStr">
        <is>
          <t>ВСЕГО СМР с НР и СП</t>
        </is>
      </c>
      <c r="C24" s="128">
        <f>C19+C20+C22</f>
        <v/>
      </c>
      <c r="D24" s="55">
        <f>C24/$C$24</f>
        <v/>
      </c>
      <c r="E24" s="55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128">
        <f>'Прил.5 Расчет СМР и ОБ'!J35</f>
        <v/>
      </c>
      <c r="D25" s="55" t="n"/>
      <c r="E25" s="55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128">
        <f>C25</f>
        <v/>
      </c>
      <c r="D26" s="55" t="n"/>
      <c r="E26" s="55">
        <f>C26/$C$40</f>
        <v/>
      </c>
    </row>
    <row r="27">
      <c r="B27" s="7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- 2,5%</t>
        </is>
      </c>
      <c r="C29" s="54">
        <f>ROUND(C24*2.5%,2)</f>
        <v/>
      </c>
      <c r="D29" s="7" t="n"/>
      <c r="E29" s="55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54">
        <f>ROUND((C24+C29)*1.9%,2)</f>
        <v/>
      </c>
      <c r="D30" s="7" t="n"/>
      <c r="E30" s="55">
        <f>C30/$C$40</f>
        <v/>
      </c>
    </row>
    <row r="31">
      <c r="B31" s="7" t="inlineStr">
        <is>
          <t>Пусконаладочные работы</t>
        </is>
      </c>
      <c r="C31" s="54" t="n">
        <v>0</v>
      </c>
      <c r="D31" s="7" t="n"/>
      <c r="E31" s="55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54">
        <f>ROUND($C$27*0%,2)</f>
        <v/>
      </c>
      <c r="D32" s="7" t="n"/>
      <c r="E32" s="55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7" t="n"/>
      <c r="E33" s="55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7" t="n"/>
      <c r="E34" s="55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7" t="n"/>
      <c r="E35" s="55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54">
        <f>ROUND((C27+C32+C33+C34+C35+C29+C31+C30)*2.14%,2)</f>
        <v/>
      </c>
      <c r="D36" s="7" t="n"/>
      <c r="E36" s="55">
        <f>C36/$C$40</f>
        <v/>
      </c>
      <c r="G36" s="78" t="n"/>
      <c r="L36" s="18" t="n"/>
    </row>
    <row r="37">
      <c r="B37" s="7" t="inlineStr">
        <is>
          <t>Авторский надзор - 0,2%</t>
        </is>
      </c>
      <c r="C37" s="54">
        <f>ROUND((C27+C32+C33+C34+C35+C29+C31+C30)*0.2%,2)</f>
        <v/>
      </c>
      <c r="D37" s="7" t="n"/>
      <c r="E37" s="55">
        <f>C37/$C$40</f>
        <v/>
      </c>
      <c r="G37" s="78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28">
        <f>C27+C32+C33+C34+C35+C29+C31+C30+C36+C37</f>
        <v/>
      </c>
      <c r="D38" s="7" t="n"/>
      <c r="E38" s="55">
        <f>C38/$C$40</f>
        <v/>
      </c>
    </row>
    <row r="39" ht="13.5" customHeight="1">
      <c r="B39" s="7" t="inlineStr">
        <is>
          <t>Непредвиденные расходы</t>
        </is>
      </c>
      <c r="C39" s="128">
        <f>ROUND(C38*3%,2)</f>
        <v/>
      </c>
      <c r="D39" s="7" t="n"/>
      <c r="E39" s="55">
        <f>C39/$C$38</f>
        <v/>
      </c>
    </row>
    <row r="40">
      <c r="B40" s="7" t="inlineStr">
        <is>
          <t>ВСЕГО:</t>
        </is>
      </c>
      <c r="C40" s="128">
        <f>C39+C38</f>
        <v/>
      </c>
      <c r="D40" s="7" t="n"/>
      <c r="E40" s="55">
        <f>C40/$C$40</f>
        <v/>
      </c>
    </row>
    <row r="41">
      <c r="B41" s="7" t="inlineStr">
        <is>
          <t>ИТОГО ПОКАЗАТЕЛЬ НА ЕД. ИЗМ.</t>
        </is>
      </c>
      <c r="C41" s="128">
        <f>C40/'Прил.5 Расчет СМР и ОБ'!E67</f>
        <v/>
      </c>
      <c r="D41" s="7" t="n"/>
      <c r="E41" s="7" t="n"/>
    </row>
    <row r="42">
      <c r="B42" s="130" t="n"/>
      <c r="C42" s="123" t="n"/>
      <c r="D42" s="123" t="n"/>
      <c r="E42" s="123" t="n"/>
    </row>
    <row r="43">
      <c r="B43" s="123" t="inlineStr">
        <is>
          <t>Составил ______________________        А.П. Николаева</t>
        </is>
      </c>
      <c r="C43" s="133" t="n"/>
      <c r="D43" s="123" t="n"/>
      <c r="E43" s="123" t="n"/>
    </row>
    <row r="44">
      <c r="B44" s="134" t="inlineStr">
        <is>
          <t xml:space="preserve">                         (подпись, инициалы, фамилия)</t>
        </is>
      </c>
      <c r="C44" s="133" t="n"/>
      <c r="D44" s="123" t="n"/>
      <c r="E44" s="123" t="n"/>
    </row>
    <row r="45">
      <c r="B45" s="123" t="n"/>
      <c r="C45" s="133" t="n"/>
      <c r="D45" s="123" t="n"/>
      <c r="E45" s="123" t="n"/>
    </row>
    <row r="46">
      <c r="B46" s="123" t="inlineStr">
        <is>
          <t>Проверил ______________________        А.В. Костянецкая</t>
        </is>
      </c>
      <c r="C46" s="133" t="n"/>
      <c r="D46" s="123" t="n"/>
      <c r="E46" s="123" t="n"/>
    </row>
    <row r="47">
      <c r="B47" s="134" t="inlineStr">
        <is>
          <t xml:space="preserve">                        (подпись, инициалы, фамилия)</t>
        </is>
      </c>
      <c r="C47" s="133" t="n"/>
      <c r="D47" s="123" t="n"/>
      <c r="E47" s="123" t="n"/>
    </row>
    <row r="49">
      <c r="B49" s="123" t="n"/>
      <c r="C49" s="123" t="n"/>
      <c r="D49" s="123" t="n"/>
      <c r="E49" s="123" t="n"/>
    </row>
    <row r="50">
      <c r="B50" s="123" t="n"/>
      <c r="C50" s="123" t="n"/>
      <c r="D50" s="123" t="n"/>
      <c r="E50" s="123" t="n"/>
    </row>
  </sheetData>
  <mergeCells count="2">
    <mergeCell ref="D6:E6"/>
    <mergeCell ref="B4:E4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74"/>
  <sheetViews>
    <sheetView view="pageBreakPreview" topLeftCell="A48" zoomScale="98" zoomScaleSheetLayoutView="98" workbookViewId="0">
      <selection activeCell="B185" sqref="B185"/>
    </sheetView>
  </sheetViews>
  <sheetFormatPr baseColWidth="8" defaultColWidth="9.140625" defaultRowHeight="15" outlineLevelRow="1"/>
  <cols>
    <col width="5.7109375" customWidth="1" style="133" min="1" max="1"/>
    <col width="22.5703125" customWidth="1" style="133" min="2" max="2"/>
    <col width="39.140625" customWidth="1" style="133" min="3" max="3"/>
    <col width="10.7109375" customWidth="1" style="133" min="4" max="4"/>
    <col width="12.7109375" customWidth="1" style="133" min="5" max="5"/>
    <col width="14.5703125" customWidth="1" style="133" min="6" max="6"/>
    <col width="13.42578125" customWidth="1" style="133" min="7" max="7"/>
    <col width="12.7109375" customWidth="1" style="133" min="8" max="8"/>
    <col width="14.5703125" customWidth="1" style="133" min="9" max="9"/>
    <col width="15.140625" customWidth="1" style="133" min="10" max="10"/>
    <col width="2.85546875" customWidth="1" style="133" min="11" max="11"/>
    <col width="10.7109375" customWidth="1" style="133" min="12" max="12"/>
    <col width="10.85546875" customWidth="1" style="133" min="13" max="13"/>
    <col width="9.140625" customWidth="1" style="133" min="14" max="14"/>
  </cols>
  <sheetData>
    <row r="2" ht="15.75" customHeight="1">
      <c r="I2" s="135" t="n"/>
      <c r="J2" s="83" t="inlineStr">
        <is>
          <t>Приложение №5</t>
        </is>
      </c>
    </row>
    <row r="4" ht="12.75" customFormat="1" customHeight="1" s="123">
      <c r="A4" s="158" t="inlineStr">
        <is>
          <t>Расчет стоимости СМР и оборудования</t>
        </is>
      </c>
      <c r="I4" s="158" t="n"/>
      <c r="J4" s="158" t="n"/>
    </row>
    <row r="5" ht="12.75" customFormat="1" customHeight="1" s="123">
      <c r="A5" s="158" t="n"/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41.25" customFormat="1" customHeight="1" s="123">
      <c r="B6" s="103">
        <f>'Прил.1 Сравнит табл'!B6</f>
        <v/>
      </c>
      <c r="C6" s="118" t="n"/>
      <c r="D6" s="170" t="inlineStr">
        <is>
          <t xml:space="preserve">Арматура и устройство крепления провода СИП </t>
        </is>
      </c>
    </row>
    <row r="7" ht="15.75" customFormat="1" customHeight="1" s="123">
      <c r="B7" s="119">
        <f>'Прил.1 Сравнит табл'!B8</f>
        <v/>
      </c>
      <c r="C7" s="103" t="n"/>
      <c r="D7" s="103" t="n"/>
      <c r="E7" s="130" t="n"/>
      <c r="F7" s="130" t="n"/>
      <c r="G7" s="130" t="n"/>
      <c r="H7" s="130" t="n"/>
      <c r="I7" s="173" t="n"/>
      <c r="J7" s="173" t="n"/>
    </row>
    <row r="8" ht="12.75" customFormat="1" customHeight="1" s="123"/>
    <row r="9" ht="27" customHeight="1">
      <c r="A9" s="161" t="inlineStr">
        <is>
          <t>№ пп.</t>
        </is>
      </c>
      <c r="B9" s="161" t="inlineStr">
        <is>
          <t>Код ресурса</t>
        </is>
      </c>
      <c r="C9" s="161" t="inlineStr">
        <is>
          <t>Наименование</t>
        </is>
      </c>
      <c r="D9" s="161" t="inlineStr">
        <is>
          <t>Ед. изм.</t>
        </is>
      </c>
      <c r="E9" s="161" t="inlineStr">
        <is>
          <t>Кол-во единиц по проектным данным</t>
        </is>
      </c>
      <c r="F9" s="161" t="inlineStr">
        <is>
          <t>Сметная стоимость в ценах на 01.01.2000 (руб.)</t>
        </is>
      </c>
      <c r="G9" s="190" t="n"/>
      <c r="H9" s="161" t="inlineStr">
        <is>
          <t>Удельный вес, %</t>
        </is>
      </c>
      <c r="I9" s="161" t="inlineStr">
        <is>
          <t>Сметная стоимость в ценах на 01.01.2023 (руб.)</t>
        </is>
      </c>
      <c r="J9" s="190" t="n"/>
    </row>
    <row r="10" ht="28.5" customHeight="1">
      <c r="A10" s="192" t="n"/>
      <c r="B10" s="192" t="n"/>
      <c r="C10" s="192" t="n"/>
      <c r="D10" s="192" t="n"/>
      <c r="E10" s="192" t="n"/>
      <c r="F10" s="161" t="inlineStr">
        <is>
          <t>на ед. изм.</t>
        </is>
      </c>
      <c r="G10" s="161" t="inlineStr">
        <is>
          <t>общая</t>
        </is>
      </c>
      <c r="H10" s="192" t="n"/>
      <c r="I10" s="161" t="inlineStr">
        <is>
          <t>на ед. изм.</t>
        </is>
      </c>
      <c r="J10" s="161" t="inlineStr">
        <is>
          <t>общая</t>
        </is>
      </c>
    </row>
    <row r="11">
      <c r="A11" s="161" t="n">
        <v>1</v>
      </c>
      <c r="B11" s="161" t="n">
        <v>2</v>
      </c>
      <c r="C11" s="161" t="n">
        <v>3</v>
      </c>
      <c r="D11" s="161" t="n">
        <v>4</v>
      </c>
      <c r="E11" s="161" t="n">
        <v>5</v>
      </c>
      <c r="F11" s="161" t="n">
        <v>6</v>
      </c>
      <c r="G11" s="161" t="n">
        <v>7</v>
      </c>
      <c r="H11" s="161" t="n">
        <v>8</v>
      </c>
      <c r="I11" s="161" t="n">
        <v>9</v>
      </c>
      <c r="J11" s="161" t="n">
        <v>10</v>
      </c>
    </row>
    <row r="12">
      <c r="A12" s="161" t="n"/>
      <c r="B12" s="154" t="inlineStr">
        <is>
          <t>Затраты труда рабочих-строителей</t>
        </is>
      </c>
      <c r="C12" s="189" t="n"/>
      <c r="D12" s="189" t="n"/>
      <c r="E12" s="189" t="n"/>
      <c r="F12" s="189" t="n"/>
      <c r="G12" s="189" t="n"/>
      <c r="H12" s="190" t="n"/>
      <c r="I12" s="60" t="n"/>
      <c r="J12" s="60" t="n"/>
      <c r="L12" s="115" t="n"/>
    </row>
    <row r="13" ht="25.5" customHeight="1">
      <c r="A13" s="161" t="n">
        <v>1</v>
      </c>
      <c r="B13" s="64" t="inlineStr">
        <is>
          <t>1-3-9</t>
        </is>
      </c>
      <c r="C13" s="160" t="inlineStr">
        <is>
          <t>Затраты труда рабочих-строителей среднего разряда (3,9)</t>
        </is>
      </c>
      <c r="D13" s="161" t="inlineStr">
        <is>
          <t>чел.-ч.</t>
        </is>
      </c>
      <c r="E13" s="63">
        <f>G13/F13</f>
        <v/>
      </c>
      <c r="F13" s="14" t="n">
        <v>9.51</v>
      </c>
      <c r="G13" s="14" t="n">
        <v>686.59</v>
      </c>
      <c r="H13" s="171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33">
      <c r="A14" s="161" t="n"/>
      <c r="B14" s="161" t="n"/>
      <c r="C14" s="154" t="inlineStr">
        <is>
          <t>Итого по разделу "Затраты труда рабочих-строителей"</t>
        </is>
      </c>
      <c r="D14" s="161" t="inlineStr">
        <is>
          <t>чел.-ч.</t>
        </is>
      </c>
      <c r="E14" s="63">
        <f>SUM(E13:E13)</f>
        <v/>
      </c>
      <c r="F14" s="14" t="n"/>
      <c r="G14" s="14">
        <f>SUM(G13:G13)</f>
        <v/>
      </c>
      <c r="H14" s="171" t="n">
        <v>1</v>
      </c>
      <c r="I14" s="14" t="n"/>
      <c r="J14" s="14">
        <f>SUM(J13:J13)</f>
        <v/>
      </c>
      <c r="L14" s="116" t="n"/>
    </row>
    <row r="15" ht="14.25" customFormat="1" customHeight="1" s="133">
      <c r="A15" s="161" t="n"/>
      <c r="B15" s="160" t="inlineStr">
        <is>
          <t>Затраты труда машинистов</t>
        </is>
      </c>
      <c r="C15" s="189" t="n"/>
      <c r="D15" s="189" t="n"/>
      <c r="E15" s="189" t="n"/>
      <c r="F15" s="189" t="n"/>
      <c r="G15" s="189" t="n"/>
      <c r="H15" s="190" t="n"/>
      <c r="I15" s="60" t="n"/>
      <c r="J15" s="60" t="n"/>
      <c r="L15" s="115" t="n"/>
    </row>
    <row r="16" ht="14.25" customFormat="1" customHeight="1" s="133">
      <c r="A16" s="161" t="n">
        <v>2</v>
      </c>
      <c r="B16" s="161" t="n">
        <v>2</v>
      </c>
      <c r="C16" s="160" t="inlineStr">
        <is>
          <t>Затраты труда машинистов</t>
        </is>
      </c>
      <c r="D16" s="161" t="inlineStr">
        <is>
          <t>чел.-ч.</t>
        </is>
      </c>
      <c r="E16" s="63" t="n">
        <v>33.290506</v>
      </c>
      <c r="F16" s="14">
        <f>G16/E16</f>
        <v/>
      </c>
      <c r="G16" s="14" t="n">
        <v>361.02</v>
      </c>
      <c r="H16" s="171" t="n">
        <v>1</v>
      </c>
      <c r="I16" s="14">
        <f>ROUND(F16*Прил.10!D10,2)</f>
        <v/>
      </c>
      <c r="J16" s="14">
        <f>ROUND(I16*E16,2)</f>
        <v/>
      </c>
      <c r="L16" s="75" t="n"/>
    </row>
    <row r="17" ht="14.25" customFormat="1" customHeight="1" s="133">
      <c r="A17" s="161" t="n"/>
      <c r="B17" s="154" t="inlineStr">
        <is>
          <t>Машины и механизмы</t>
        </is>
      </c>
      <c r="C17" s="189" t="n"/>
      <c r="D17" s="189" t="n"/>
      <c r="E17" s="189" t="n"/>
      <c r="F17" s="189" t="n"/>
      <c r="G17" s="189" t="n"/>
      <c r="H17" s="190" t="n"/>
      <c r="I17" s="171" t="n"/>
      <c r="J17" s="171" t="n"/>
    </row>
    <row r="18" ht="14.25" customFormat="1" customHeight="1" s="133">
      <c r="A18" s="161" t="n"/>
      <c r="B18" s="160" t="inlineStr">
        <is>
          <t>Основные машины и механизмы</t>
        </is>
      </c>
      <c r="C18" s="189" t="n"/>
      <c r="D18" s="189" t="n"/>
      <c r="E18" s="189" t="n"/>
      <c r="F18" s="189" t="n"/>
      <c r="G18" s="189" t="n"/>
      <c r="H18" s="190" t="n"/>
      <c r="I18" s="60" t="n"/>
      <c r="J18" s="60" t="n"/>
    </row>
    <row r="19" ht="25.5" customFormat="1" customHeight="1" s="133">
      <c r="A19" s="161" t="n">
        <v>3</v>
      </c>
      <c r="B19" s="64" t="inlineStr">
        <is>
          <t>91.06.06-011</t>
        </is>
      </c>
      <c r="C19" s="160" t="inlineStr">
        <is>
          <t>Автогидроподъемники, высота подъема 12 м</t>
        </is>
      </c>
      <c r="D19" s="161" t="inlineStr">
        <is>
          <t>маш.час</t>
        </is>
      </c>
      <c r="E19" s="63" t="n">
        <v>23.5586</v>
      </c>
      <c r="F19" s="179" t="n">
        <v>82.22</v>
      </c>
      <c r="G19" s="14">
        <f>ROUND(E19*F19,2)</f>
        <v/>
      </c>
      <c r="H19" s="171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33">
      <c r="A20" s="161" t="n">
        <v>4</v>
      </c>
      <c r="B20" s="64" t="inlineStr">
        <is>
          <t>91.15.03-014</t>
        </is>
      </c>
      <c r="C20" s="160" t="inlineStr">
        <is>
          <t>Тракторы на пневмоколесном ходу, мощность 59 кВт (80 л.с.)</t>
        </is>
      </c>
      <c r="D20" s="161" t="inlineStr">
        <is>
          <t>маш.час</t>
        </is>
      </c>
      <c r="E20" s="63" t="n">
        <v>5.854614</v>
      </c>
      <c r="F20" s="179" t="n">
        <v>74.61</v>
      </c>
      <c r="G20" s="14">
        <f>ROUND(E20*F20,2)</f>
        <v/>
      </c>
      <c r="H20" s="171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33">
      <c r="A21" s="161" t="n"/>
      <c r="B21" s="161" t="n"/>
      <c r="C21" s="160" t="inlineStr">
        <is>
          <t>Итого основные машины и механизмы</t>
        </is>
      </c>
      <c r="D21" s="161" t="n"/>
      <c r="E21" s="65" t="n"/>
      <c r="F21" s="14" t="n"/>
      <c r="G21" s="14">
        <f>SUM(G19:G20)</f>
        <v/>
      </c>
      <c r="H21" s="171">
        <f>G21/G25</f>
        <v/>
      </c>
      <c r="I21" s="14" t="n"/>
      <c r="J21" s="14">
        <f>SUM(J19:J20)</f>
        <v/>
      </c>
      <c r="L21" s="62" t="n"/>
    </row>
    <row r="22" outlineLevel="1" ht="25.5" customFormat="1" customHeight="1" s="133">
      <c r="A22" s="161" t="n">
        <v>5</v>
      </c>
      <c r="B22" s="64" t="inlineStr">
        <is>
          <t>91.14.02-001</t>
        </is>
      </c>
      <c r="C22" s="160" t="inlineStr">
        <is>
          <t>Автомобили бортовые, грузоподъемность до 5 т</t>
        </is>
      </c>
      <c r="D22" s="161" t="inlineStr">
        <is>
          <t>маш.час</t>
        </is>
      </c>
      <c r="E22" s="63" t="n">
        <v>3.877292</v>
      </c>
      <c r="F22" s="179" t="n">
        <v>65.70999999999999</v>
      </c>
      <c r="G22" s="14">
        <f>ROUND(E22*F22,2)</f>
        <v/>
      </c>
      <c r="H22" s="171">
        <f>G22/$G$25</f>
        <v/>
      </c>
      <c r="I22" s="14">
        <f>ROUND(F22*Прил.10!$D$11,2)</f>
        <v/>
      </c>
      <c r="J22" s="14">
        <f>ROUND(I22*E22,2)</f>
        <v/>
      </c>
      <c r="L22" s="62" t="n"/>
    </row>
    <row r="23" outlineLevel="1" ht="25.5" customFormat="1" customHeight="1" s="133">
      <c r="A23" s="161" t="n">
        <v>6</v>
      </c>
      <c r="B23" s="64" t="inlineStr">
        <is>
          <t>91.17.04-233</t>
        </is>
      </c>
      <c r="C23" s="160" t="inlineStr">
        <is>
          <t>Установки для сварки ручной дуговой (постоянного тока)</t>
        </is>
      </c>
      <c r="D23" s="161" t="inlineStr">
        <is>
          <t>маш.час</t>
        </is>
      </c>
      <c r="E23" s="63" t="n">
        <v>0.2323</v>
      </c>
      <c r="F23" s="179" t="n">
        <v>8.1</v>
      </c>
      <c r="G23" s="14">
        <f>ROUND(E23*F23,2)</f>
        <v/>
      </c>
      <c r="H23" s="171">
        <f>G23/$G$25</f>
        <v/>
      </c>
      <c r="I23" s="14">
        <f>ROUND(F23*Прил.10!$D$11,2)</f>
        <v/>
      </c>
      <c r="J23" s="14">
        <f>ROUND(I23*E23,2)</f>
        <v/>
      </c>
      <c r="L23" s="62" t="n"/>
    </row>
    <row r="24" ht="14.25" customFormat="1" customHeight="1" s="133">
      <c r="A24" s="161" t="n"/>
      <c r="B24" s="161" t="n"/>
      <c r="C24" s="160" t="inlineStr">
        <is>
          <t>Итого прочие машины и механизмы</t>
        </is>
      </c>
      <c r="D24" s="161" t="n"/>
      <c r="E24" s="162" t="n"/>
      <c r="F24" s="14" t="n"/>
      <c r="G24" s="14">
        <f>SUM(G22:G23)</f>
        <v/>
      </c>
      <c r="H24" s="171">
        <f>G24/G25</f>
        <v/>
      </c>
      <c r="I24" s="14" t="n"/>
      <c r="J24" s="14">
        <f>SUM(J22:J23)</f>
        <v/>
      </c>
      <c r="K24" s="62" t="n"/>
      <c r="L24" s="115" t="n"/>
    </row>
    <row r="25" ht="25.5" customFormat="1" customHeight="1" s="133">
      <c r="A25" s="161" t="n"/>
      <c r="B25" s="174" t="n"/>
      <c r="C25" s="68" t="inlineStr">
        <is>
          <t>Итого по разделу «Машины и механизмы»</t>
        </is>
      </c>
      <c r="D25" s="174" t="n"/>
      <c r="E25" s="69" t="n"/>
      <c r="F25" s="70" t="n"/>
      <c r="G25" s="70">
        <f>G21+G24</f>
        <v/>
      </c>
      <c r="H25" s="71" t="n">
        <v>1</v>
      </c>
      <c r="I25" s="70" t="n"/>
      <c r="J25" s="70">
        <f>J21+J24</f>
        <v/>
      </c>
    </row>
    <row r="26">
      <c r="A26" s="168" t="n"/>
      <c r="B26" s="154" t="inlineStr">
        <is>
          <t xml:space="preserve">Оборудование </t>
        </is>
      </c>
      <c r="C26" s="189" t="n"/>
      <c r="D26" s="189" t="n"/>
      <c r="E26" s="189" t="n"/>
      <c r="F26" s="189" t="n"/>
      <c r="G26" s="189" t="n"/>
      <c r="H26" s="189" t="n"/>
      <c r="I26" s="189" t="n"/>
      <c r="J26" s="190" t="n"/>
    </row>
    <row r="27" ht="15" customHeight="1">
      <c r="A27" s="161" t="n"/>
      <c r="B27" s="172" t="inlineStr">
        <is>
          <t>Основное оборудование</t>
        </is>
      </c>
    </row>
    <row r="28" hidden="1" ht="51" customHeight="1">
      <c r="A28" s="161" t="n"/>
      <c r="B28" s="64" t="inlineStr">
        <is>
          <t>Ориентир цены, подлежит уточнению на основании данных Мониторинга</t>
        </is>
      </c>
      <c r="C28" s="160" t="n"/>
      <c r="D28" s="161" t="n"/>
      <c r="E28" s="63" t="n"/>
      <c r="F28" s="163" t="n"/>
      <c r="G28" s="14">
        <f>ROUND(E28*F28,2)</f>
        <v/>
      </c>
      <c r="H28" s="171" t="n"/>
      <c r="I28" s="14">
        <f>ROUND(F28*Прил.10!$D$13,2)</f>
        <v/>
      </c>
      <c r="J28" s="14">
        <f>ROUND(I28*E28,2)</f>
        <v/>
      </c>
    </row>
    <row r="29" hidden="1" ht="51" customHeight="1">
      <c r="A29" s="161" t="n"/>
      <c r="B29" s="64" t="inlineStr">
        <is>
          <t>Ориентир цены, подлежит уточнению на основании данных Мониторинга</t>
        </is>
      </c>
      <c r="C29" s="173" t="n"/>
      <c r="D29" s="161" t="n"/>
      <c r="E29" s="63" t="n"/>
      <c r="F29" s="112" t="n"/>
      <c r="G29" s="14">
        <f>ROUND(E29*F29,2)</f>
        <v/>
      </c>
      <c r="H29" s="171" t="n"/>
      <c r="I29" s="14">
        <f>ROUND(F29*Прил.10!$D$13,2)</f>
        <v/>
      </c>
      <c r="J29" s="14">
        <f>ROUND(I29*E29,2)</f>
        <v/>
      </c>
    </row>
    <row r="30">
      <c r="A30" s="161" t="n"/>
      <c r="B30" s="161" t="n"/>
      <c r="C30" s="160" t="inlineStr">
        <is>
          <t>Итого основное оборудование</t>
        </is>
      </c>
      <c r="D30" s="161" t="n"/>
      <c r="E30" s="63" t="n"/>
      <c r="F30" s="163" t="n"/>
      <c r="G30" s="14">
        <f>SUM(G28:G29)</f>
        <v/>
      </c>
      <c r="H30" s="171" t="n"/>
      <c r="I30" s="14" t="n"/>
      <c r="J30" s="14">
        <f>SUM(J28:J29)</f>
        <v/>
      </c>
      <c r="K30" s="62" t="n"/>
    </row>
    <row r="31" hidden="1" outlineLevel="1">
      <c r="A31" s="161" t="n"/>
      <c r="B31" s="161" t="n"/>
      <c r="C31" s="160" t="n"/>
      <c r="D31" s="161" t="n"/>
      <c r="E31" s="63" t="n"/>
      <c r="F31" s="163" t="n"/>
      <c r="G31" s="14">
        <f>ROUND(E31*F31,2)</f>
        <v/>
      </c>
      <c r="H31" s="171">
        <f>G31/$G$34</f>
        <v/>
      </c>
      <c r="I31" s="14">
        <f>ROUND(F31*Прил.10!$D$13,2)</f>
        <v/>
      </c>
      <c r="J31" s="14">
        <f>ROUND(I31*E31,2)</f>
        <v/>
      </c>
      <c r="K31" s="62" t="n"/>
    </row>
    <row r="32" hidden="1" outlineLevel="1">
      <c r="A32" s="161" t="n"/>
      <c r="B32" s="161" t="n"/>
      <c r="C32" s="160" t="n"/>
      <c r="D32" s="161" t="n"/>
      <c r="E32" s="63" t="n"/>
      <c r="F32" s="163" t="n"/>
      <c r="G32" s="14">
        <f>ROUND(E32*F32,2)</f>
        <v/>
      </c>
      <c r="H32" s="171">
        <f>G32/$G$34</f>
        <v/>
      </c>
      <c r="I32" s="14">
        <f>ROUND(F32*Прил.10!$D$13,2)</f>
        <v/>
      </c>
      <c r="J32" s="14">
        <f>ROUND(I32*E32,2)</f>
        <v/>
      </c>
      <c r="K32" s="62" t="n"/>
    </row>
    <row r="33" collapsed="1">
      <c r="A33" s="161" t="n"/>
      <c r="B33" s="161" t="n"/>
      <c r="C33" s="160" t="inlineStr">
        <is>
          <t>Итого прочее оборудование</t>
        </is>
      </c>
      <c r="D33" s="161" t="n"/>
      <c r="E33" s="162" t="n"/>
      <c r="F33" s="163" t="n"/>
      <c r="G33" s="14">
        <f>SUM(G31:G32)</f>
        <v/>
      </c>
      <c r="H33" s="171" t="n"/>
      <c r="I33" s="14" t="n"/>
      <c r="J33" s="14">
        <f>SUM(J31:J32)</f>
        <v/>
      </c>
      <c r="K33" s="62" t="n"/>
      <c r="L33" s="115" t="n"/>
    </row>
    <row r="34">
      <c r="A34" s="161" t="n"/>
      <c r="B34" s="161" t="n"/>
      <c r="C34" s="154" t="inlineStr">
        <is>
          <t>Итого по разделу «Оборудование»</t>
        </is>
      </c>
      <c r="D34" s="161" t="n"/>
      <c r="E34" s="162" t="n"/>
      <c r="F34" s="163" t="n"/>
      <c r="G34" s="14">
        <f>Прил.3!H23</f>
        <v/>
      </c>
      <c r="H34" s="171" t="n"/>
      <c r="I34" s="14" t="n"/>
      <c r="J34" s="14">
        <f>J33+J30</f>
        <v/>
      </c>
      <c r="K34" s="62" t="n"/>
    </row>
    <row r="35" ht="25.5" customHeight="1">
      <c r="A35" s="161" t="n"/>
      <c r="B35" s="161" t="n"/>
      <c r="C35" s="160" t="inlineStr">
        <is>
          <t>в том числе технологическое оборудование</t>
        </is>
      </c>
      <c r="D35" s="161" t="n"/>
      <c r="E35" s="162" t="n"/>
      <c r="F35" s="163" t="n"/>
      <c r="G35" s="14">
        <f>'Прил.6 Расчет ОБ'!G16</f>
        <v/>
      </c>
      <c r="H35" s="171" t="n"/>
      <c r="I35" s="14" t="n"/>
      <c r="J35" s="14">
        <f>ROUND(G35*Прил.10!$D$13,2)</f>
        <v/>
      </c>
      <c r="K35" s="62" t="n"/>
    </row>
    <row r="36" ht="14.25" customFormat="1" customHeight="1" s="133">
      <c r="A36" s="161" t="n"/>
      <c r="B36" s="193" t="inlineStr">
        <is>
          <t>Материалы</t>
        </is>
      </c>
      <c r="J36" s="194" t="n"/>
      <c r="K36" s="62" t="n"/>
    </row>
    <row r="37" ht="14.25" customFormat="1" customHeight="1" s="133">
      <c r="A37" s="161" t="n"/>
      <c r="B37" s="160" t="inlineStr">
        <is>
          <t>Основные материалы</t>
        </is>
      </c>
      <c r="C37" s="189" t="n"/>
      <c r="D37" s="189" t="n"/>
      <c r="E37" s="189" t="n"/>
      <c r="F37" s="189" t="n"/>
      <c r="G37" s="189" t="n"/>
      <c r="H37" s="190" t="n"/>
      <c r="I37" s="171" t="n"/>
      <c r="J37" s="171" t="n"/>
    </row>
    <row r="38" ht="14.25" customFormat="1" customHeight="1" s="133">
      <c r="A38" s="161" t="n">
        <v>7</v>
      </c>
      <c r="B38" s="64" t="inlineStr">
        <is>
          <t>20.5.04.04-0001</t>
        </is>
      </c>
      <c r="C38" s="160" t="inlineStr">
        <is>
          <t>Зажим натяжной болтовый НБ-2-6</t>
        </is>
      </c>
      <c r="D38" s="161" t="inlineStr">
        <is>
          <t>шт</t>
        </is>
      </c>
      <c r="E38" s="63" t="n">
        <v>63</v>
      </c>
      <c r="F38" s="179" t="n">
        <v>89.44</v>
      </c>
      <c r="G38" s="14">
        <f>ROUND(E38*F38,2)</f>
        <v/>
      </c>
      <c r="H38" s="171">
        <f>G38/$G$61</f>
        <v/>
      </c>
      <c r="I38" s="14">
        <f>ROUND(F38*Прил.10!$D$12,2)</f>
        <v/>
      </c>
      <c r="J38" s="14">
        <f>ROUND(I38*E38,2)</f>
        <v/>
      </c>
    </row>
    <row r="39" ht="38.25" customFormat="1" customHeight="1" s="133">
      <c r="A39" s="161" t="n">
        <v>8</v>
      </c>
      <c r="B39" s="64" t="inlineStr">
        <is>
          <t>20.1.02.15-0011</t>
        </is>
      </c>
      <c r="C39" s="160" t="inlineStr">
        <is>
          <t>Соединитель алюминиевых и сталеалюминиевых проводов (СОАС) 062-3</t>
        </is>
      </c>
      <c r="D39" s="161" t="inlineStr">
        <is>
          <t>шт</t>
        </is>
      </c>
      <c r="E39" s="63" t="n">
        <v>43</v>
      </c>
      <c r="F39" s="179" t="n">
        <v>88.14</v>
      </c>
      <c r="G39" s="14">
        <f>ROUND(E39*F39,2)</f>
        <v/>
      </c>
      <c r="H39" s="171">
        <f>G39/$G$61</f>
        <v/>
      </c>
      <c r="I39" s="14">
        <f>ROUND(F39*Прил.10!$D$12,2)</f>
        <v/>
      </c>
      <c r="J39" s="14">
        <f>ROUND(I39*E39,2)</f>
        <v/>
      </c>
    </row>
    <row r="40" ht="25.5" customFormat="1" customHeight="1" s="133">
      <c r="A40" s="161" t="n">
        <v>9</v>
      </c>
      <c r="B40" s="64" t="inlineStr">
        <is>
          <t>22.2.01.04-0002</t>
        </is>
      </c>
      <c r="C40" s="160" t="inlineStr">
        <is>
          <t>Изолятор линейный штыревой фарфоровый ШФ 20-Г</t>
        </is>
      </c>
      <c r="D40" s="161" t="inlineStr">
        <is>
          <t>шт</t>
        </is>
      </c>
      <c r="E40" s="63" t="n">
        <v>61</v>
      </c>
      <c r="F40" s="179" t="n">
        <v>46.72</v>
      </c>
      <c r="G40" s="14">
        <f>ROUND(E40*F40,2)</f>
        <v/>
      </c>
      <c r="H40" s="171">
        <f>G40/$G$61</f>
        <v/>
      </c>
      <c r="I40" s="14">
        <f>ROUND(F40*Прил.10!$D$12,2)</f>
        <v/>
      </c>
      <c r="J40" s="14">
        <f>ROUND(I40*E40,2)</f>
        <v/>
      </c>
    </row>
    <row r="41" ht="25.5" customFormat="1" customHeight="1" s="133">
      <c r="A41" s="161" t="n">
        <v>10</v>
      </c>
      <c r="B41" s="64" t="inlineStr">
        <is>
          <t>22.2.02.04-0041</t>
        </is>
      </c>
      <c r="C41" s="160" t="inlineStr">
        <is>
          <t>Звено промежуточное трехлапчатое ПРТ-7-1</t>
        </is>
      </c>
      <c r="D41" s="161" t="inlineStr">
        <is>
          <t>шт</t>
        </is>
      </c>
      <c r="E41" s="63" t="n">
        <v>75</v>
      </c>
      <c r="F41" s="179" t="n">
        <v>36.42</v>
      </c>
      <c r="G41" s="14">
        <f>ROUND(E41*F41,2)</f>
        <v/>
      </c>
      <c r="H41" s="171">
        <f>G41/$G$61</f>
        <v/>
      </c>
      <c r="I41" s="14">
        <f>ROUND(F41*Прил.10!$D$12,2)</f>
        <v/>
      </c>
      <c r="J41" s="14">
        <f>ROUND(I41*E41,2)</f>
        <v/>
      </c>
    </row>
    <row r="42" ht="14.25" customFormat="1" customHeight="1" s="133">
      <c r="A42" s="161" t="n"/>
      <c r="B42" s="161" t="n"/>
      <c r="C42" s="160" t="inlineStr">
        <is>
          <t>Итого основные материалы</t>
        </is>
      </c>
      <c r="D42" s="161" t="n"/>
      <c r="E42" s="63" t="n"/>
      <c r="F42" s="163" t="n"/>
      <c r="G42" s="14">
        <f>SUM(G38:G41)</f>
        <v/>
      </c>
      <c r="H42" s="171">
        <f>G42/$G$61</f>
        <v/>
      </c>
      <c r="I42" s="14" t="n"/>
      <c r="J42" s="14">
        <f>SUM(J38:J41)</f>
        <v/>
      </c>
      <c r="K42" s="62" t="n"/>
    </row>
    <row r="43" outlineLevel="1" ht="25.5" customFormat="1" customHeight="1" s="133">
      <c r="A43" s="161" t="n">
        <v>11</v>
      </c>
      <c r="B43" s="64" t="inlineStr">
        <is>
          <t>20.1.01.11-0022</t>
        </is>
      </c>
      <c r="C43" s="160" t="inlineStr">
        <is>
          <t>Зажим соединительный: плашечный ПС-2-1</t>
        </is>
      </c>
      <c r="D43" s="161" t="inlineStr">
        <is>
          <t>шт</t>
        </is>
      </c>
      <c r="E43" s="63" t="n">
        <v>150</v>
      </c>
      <c r="F43" s="179" t="n">
        <v>12.53</v>
      </c>
      <c r="G43" s="14">
        <f>ROUND(F43*E43,2)</f>
        <v/>
      </c>
      <c r="H43" s="171">
        <f>G43/$G$61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133">
      <c r="A44" s="161" t="n">
        <v>12</v>
      </c>
      <c r="B44" s="64" t="inlineStr">
        <is>
          <t>20.1.01.11-0004</t>
        </is>
      </c>
      <c r="C44" s="160" t="inlineStr">
        <is>
          <t>Зажим: плашечный соединительный ПА 2-2</t>
        </is>
      </c>
      <c r="D44" s="161" t="inlineStr">
        <is>
          <t>шт</t>
        </is>
      </c>
      <c r="E44" s="63" t="n">
        <v>59</v>
      </c>
      <c r="F44" s="179" t="n">
        <v>6.78</v>
      </c>
      <c r="G44" s="14">
        <f>ROUND(F44*E44,2)</f>
        <v/>
      </c>
      <c r="H44" s="171">
        <f>G44/$G$61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133">
      <c r="A45" s="161" t="n">
        <v>13</v>
      </c>
      <c r="B45" s="64" t="inlineStr">
        <is>
          <t>20.1.01.02-0047</t>
        </is>
      </c>
      <c r="C45" s="160" t="inlineStr">
        <is>
          <t>Зажим аппаратный прессуемый: А2А-70-2</t>
        </is>
      </c>
      <c r="D45" s="161" t="inlineStr">
        <is>
          <t>100 шт</t>
        </is>
      </c>
      <c r="E45" s="63" t="n">
        <v>0.18</v>
      </c>
      <c r="F45" s="179" t="n">
        <v>2089</v>
      </c>
      <c r="G45" s="14">
        <f>ROUND(F45*E45,2)</f>
        <v/>
      </c>
      <c r="H45" s="171">
        <f>G45/$G$61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133">
      <c r="A46" s="161" t="n">
        <v>14</v>
      </c>
      <c r="B46" s="64" t="inlineStr">
        <is>
          <t>10.1.02.03-0002</t>
        </is>
      </c>
      <c r="C46" s="160" t="inlineStr">
        <is>
          <t>Проволока алюминиевая, диаметр 3 мм</t>
        </is>
      </c>
      <c r="D46" s="161" t="inlineStr">
        <is>
          <t>т</t>
        </is>
      </c>
      <c r="E46" s="63" t="n">
        <v>0.0077827</v>
      </c>
      <c r="F46" s="179" t="n">
        <v>29010.49</v>
      </c>
      <c r="G46" s="14">
        <f>ROUND(F46*E46,2)</f>
        <v/>
      </c>
      <c r="H46" s="171">
        <f>G46/$G$61</f>
        <v/>
      </c>
      <c r="I46" s="14">
        <f>ROUND(F46*Прил.10!$D$12,2)</f>
        <v/>
      </c>
      <c r="J46" s="14">
        <f>ROUND(I46*E46,2)</f>
        <v/>
      </c>
    </row>
    <row r="47" outlineLevel="1" ht="51" customFormat="1" customHeight="1" s="133">
      <c r="A47" s="161" t="n">
        <v>15</v>
      </c>
      <c r="B47" s="64" t="inlineStr">
        <is>
          <t>25.2.02.11-0021</t>
        </is>
      </c>
      <c r="C47" s="160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47" s="161" t="inlineStr">
        <is>
          <t>шт</t>
        </is>
      </c>
      <c r="E47" s="63" t="n">
        <v>0.2</v>
      </c>
      <c r="F47" s="179" t="n">
        <v>943.0599999999999</v>
      </c>
      <c r="G47" s="14">
        <f>ROUND(F47*E47,2)</f>
        <v/>
      </c>
      <c r="H47" s="171">
        <f>G47/$G$61</f>
        <v/>
      </c>
      <c r="I47" s="14">
        <f>ROUND(F47*Прил.10!$D$12,2)</f>
        <v/>
      </c>
      <c r="J47" s="14">
        <f>ROUND(I47*E47,2)</f>
        <v/>
      </c>
    </row>
    <row r="48" outlineLevel="1" ht="25.5" customFormat="1" customHeight="1" s="133">
      <c r="A48" s="161" t="n">
        <v>16</v>
      </c>
      <c r="B48" s="64" t="inlineStr">
        <is>
          <t>20.2.02.03-0011</t>
        </is>
      </c>
      <c r="C48" s="160" t="inlineStr">
        <is>
          <t>Кожух защитный для соединений проводов</t>
        </is>
      </c>
      <c r="D48" s="161" t="inlineStr">
        <is>
          <t>шт</t>
        </is>
      </c>
      <c r="E48" s="63" t="n">
        <v>1</v>
      </c>
      <c r="F48" s="179" t="n">
        <v>161.1</v>
      </c>
      <c r="G48" s="14">
        <f>ROUND(F48*E48,2)</f>
        <v/>
      </c>
      <c r="H48" s="171">
        <f>G48/$G$61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133">
      <c r="A49" s="161" t="n">
        <v>17</v>
      </c>
      <c r="B49" s="64" t="inlineStr">
        <is>
          <t>20.1.02.23-0082</t>
        </is>
      </c>
      <c r="C49" s="160" t="inlineStr">
        <is>
          <t>Перемычки гибкие, тип ПГС-50</t>
        </is>
      </c>
      <c r="D49" s="161" t="inlineStr">
        <is>
          <t>10 шт</t>
        </is>
      </c>
      <c r="E49" s="63" t="n">
        <v>2.323</v>
      </c>
      <c r="F49" s="179" t="n">
        <v>39</v>
      </c>
      <c r="G49" s="14">
        <f>ROUND(F49*E49,2)</f>
        <v/>
      </c>
      <c r="H49" s="171">
        <f>G49/$G$61</f>
        <v/>
      </c>
      <c r="I49" s="14">
        <f>ROUND(F49*Прил.10!$D$12,2)</f>
        <v/>
      </c>
      <c r="J49" s="14">
        <f>ROUND(I49*E49,2)</f>
        <v/>
      </c>
    </row>
    <row r="50" outlineLevel="1" ht="25.5" customFormat="1" customHeight="1" s="133">
      <c r="A50" s="161" t="n">
        <v>18</v>
      </c>
      <c r="B50" s="64" t="inlineStr">
        <is>
          <t>25.2.02.11-0051</t>
        </is>
      </c>
      <c r="C50" s="160" t="inlineStr">
        <is>
          <t>Скрепа для фиксации на промежуточных опорах, размер 20 мм</t>
        </is>
      </c>
      <c r="D50" s="161" t="inlineStr">
        <is>
          <t>100 шт</t>
        </is>
      </c>
      <c r="E50" s="63" t="n">
        <v>0.06</v>
      </c>
      <c r="F50" s="179" t="n">
        <v>582</v>
      </c>
      <c r="G50" s="14">
        <f>ROUND(F50*E50,2)</f>
        <v/>
      </c>
      <c r="H50" s="171">
        <f>G50/$G$61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133">
      <c r="A51" s="161" t="n">
        <v>19</v>
      </c>
      <c r="B51" s="64" t="inlineStr">
        <is>
          <t>01.7.15.03-0042</t>
        </is>
      </c>
      <c r="C51" s="160" t="inlineStr">
        <is>
          <t>Болты с гайками и шайбами строительные</t>
        </is>
      </c>
      <c r="D51" s="161" t="inlineStr">
        <is>
          <t>кг</t>
        </is>
      </c>
      <c r="E51" s="63" t="n">
        <v>2.46238</v>
      </c>
      <c r="F51" s="179" t="n">
        <v>9.039999999999999</v>
      </c>
      <c r="G51" s="14">
        <f>ROUND(F51*E51,2)</f>
        <v/>
      </c>
      <c r="H51" s="171">
        <f>G51/$G$61</f>
        <v/>
      </c>
      <c r="I51" s="14">
        <f>ROUND(F51*Прил.10!$D$12,2)</f>
        <v/>
      </c>
      <c r="J51" s="14">
        <f>ROUND(I51*E51,2)</f>
        <v/>
      </c>
    </row>
    <row r="52" outlineLevel="1" ht="14.25" customFormat="1" customHeight="1" s="133">
      <c r="A52" s="161" t="n">
        <v>20</v>
      </c>
      <c r="B52" s="64" t="inlineStr">
        <is>
          <t>01.7.15.07-0014</t>
        </is>
      </c>
      <c r="C52" s="160" t="inlineStr">
        <is>
          <t>Дюбели распорные полипропиленовые</t>
        </is>
      </c>
      <c r="D52" s="161" t="inlineStr">
        <is>
          <t>100 шт</t>
        </is>
      </c>
      <c r="E52" s="63" t="n">
        <v>0.2323</v>
      </c>
      <c r="F52" s="179" t="n">
        <v>86</v>
      </c>
      <c r="G52" s="14">
        <f>ROUND(F52*E52,2)</f>
        <v/>
      </c>
      <c r="H52" s="171">
        <f>G52/$G$61</f>
        <v/>
      </c>
      <c r="I52" s="14">
        <f>ROUND(F52*Прил.10!$D$12,2)</f>
        <v/>
      </c>
      <c r="J52" s="14">
        <f>ROUND(I52*E52,2)</f>
        <v/>
      </c>
    </row>
    <row r="53" outlineLevel="1" ht="14.25" customFormat="1" customHeight="1" s="133">
      <c r="A53" s="161" t="n">
        <v>21</v>
      </c>
      <c r="B53" s="64" t="inlineStr">
        <is>
          <t>01.3.01.06-0038</t>
        </is>
      </c>
      <c r="C53" s="160" t="inlineStr">
        <is>
          <t>Смазка защитная электросетевая</t>
        </is>
      </c>
      <c r="D53" s="161" t="inlineStr">
        <is>
          <t>кг</t>
        </is>
      </c>
      <c r="E53" s="63" t="n">
        <v>1.28522</v>
      </c>
      <c r="F53" s="179" t="n">
        <v>14.4</v>
      </c>
      <c r="G53" s="14">
        <f>ROUND(F53*E53,2)</f>
        <v/>
      </c>
      <c r="H53" s="171">
        <f>G53/$G$61</f>
        <v/>
      </c>
      <c r="I53" s="14">
        <f>ROUND(F53*Прил.10!$D$12,2)</f>
        <v/>
      </c>
      <c r="J53" s="14">
        <f>ROUND(I53*E53,2)</f>
        <v/>
      </c>
    </row>
    <row r="54" outlineLevel="1" ht="14.25" customFormat="1" customHeight="1" s="133">
      <c r="A54" s="161" t="n">
        <v>22</v>
      </c>
      <c r="B54" s="64" t="inlineStr">
        <is>
          <t>14.4.02.09-0001</t>
        </is>
      </c>
      <c r="C54" s="160" t="inlineStr">
        <is>
          <t>Краска</t>
        </is>
      </c>
      <c r="D54" s="161" t="inlineStr">
        <is>
          <t>кг</t>
        </is>
      </c>
      <c r="E54" s="63" t="n">
        <v>0.4646</v>
      </c>
      <c r="F54" s="179" t="n">
        <v>28.6</v>
      </c>
      <c r="G54" s="14">
        <f>ROUND(F54*E54,2)</f>
        <v/>
      </c>
      <c r="H54" s="171">
        <f>G54/$G$61</f>
        <v/>
      </c>
      <c r="I54" s="14">
        <f>ROUND(F54*Прил.10!$D$12,2)</f>
        <v/>
      </c>
      <c r="J54" s="14">
        <f>ROUND(I54*E54,2)</f>
        <v/>
      </c>
    </row>
    <row r="55" outlineLevel="1" ht="14.25" customFormat="1" customHeight="1" s="133">
      <c r="A55" s="161" t="n">
        <v>23</v>
      </c>
      <c r="B55" s="64" t="inlineStr">
        <is>
          <t>08.3.03.06-0001</t>
        </is>
      </c>
      <c r="C55" s="160" t="inlineStr">
        <is>
          <t>Проволока вязальная</t>
        </is>
      </c>
      <c r="D55" s="161" t="inlineStr">
        <is>
          <t>кг</t>
        </is>
      </c>
      <c r="E55" s="63" t="n">
        <v>1.2936</v>
      </c>
      <c r="F55" s="179" t="n">
        <v>9.5</v>
      </c>
      <c r="G55" s="14">
        <f>ROUND(F55*E55,2)</f>
        <v/>
      </c>
      <c r="H55" s="171">
        <f>G55/$G$61</f>
        <v/>
      </c>
      <c r="I55" s="14">
        <f>ROUND(F55*Прил.10!$D$12,2)</f>
        <v/>
      </c>
      <c r="J55" s="14">
        <f>ROUND(I55*E55,2)</f>
        <v/>
      </c>
    </row>
    <row r="56" outlineLevel="1" ht="14.25" customFormat="1" customHeight="1" s="133">
      <c r="A56" s="161" t="n">
        <v>24</v>
      </c>
      <c r="B56" s="64" t="inlineStr">
        <is>
          <t>01.3.01.01-0010</t>
        </is>
      </c>
      <c r="C56" s="160" t="inlineStr">
        <is>
          <t>Бензин-растворитель</t>
        </is>
      </c>
      <c r="D56" s="161" t="inlineStr">
        <is>
          <t>кг</t>
        </is>
      </c>
      <c r="E56" s="63" t="n">
        <v>0.771132</v>
      </c>
      <c r="F56" s="179" t="n">
        <v>6.15</v>
      </c>
      <c r="G56" s="14">
        <f>ROUND(F56*E56,2)</f>
        <v/>
      </c>
      <c r="H56" s="171">
        <f>G56/$G$61</f>
        <v/>
      </c>
      <c r="I56" s="14">
        <f>ROUND(F56*Прил.10!$D$12,2)</f>
        <v/>
      </c>
      <c r="J56" s="14">
        <f>ROUND(I56*E56,2)</f>
        <v/>
      </c>
    </row>
    <row r="57" outlineLevel="1" ht="14.25" customFormat="1" customHeight="1" s="133">
      <c r="A57" s="161" t="n">
        <v>25</v>
      </c>
      <c r="B57" s="64" t="inlineStr">
        <is>
          <t>14.5.09.11-0102</t>
        </is>
      </c>
      <c r="C57" s="160" t="inlineStr">
        <is>
          <t>Уайт-спирит</t>
        </is>
      </c>
      <c r="D57" s="161" t="inlineStr">
        <is>
          <t>кг</t>
        </is>
      </c>
      <c r="E57" s="63" t="n">
        <v>0.547484</v>
      </c>
      <c r="F57" s="179" t="n">
        <v>6.67</v>
      </c>
      <c r="G57" s="14">
        <f>ROUND(F57*E57,2)</f>
        <v/>
      </c>
      <c r="H57" s="171">
        <f>G57/$G$61</f>
        <v/>
      </c>
      <c r="I57" s="14">
        <f>ROUND(F57*Прил.10!$D$12,2)</f>
        <v/>
      </c>
      <c r="J57" s="14">
        <f>ROUND(I57*E57,2)</f>
        <v/>
      </c>
    </row>
    <row r="58" outlineLevel="1" ht="14.25" customFormat="1" customHeight="1" s="133">
      <c r="A58" s="161" t="n">
        <v>26</v>
      </c>
      <c r="B58" s="64" t="inlineStr">
        <is>
          <t>01.7.20.08-0051</t>
        </is>
      </c>
      <c r="C58" s="160" t="inlineStr">
        <is>
          <t>Ветошь</t>
        </is>
      </c>
      <c r="D58" s="161" t="inlineStr">
        <is>
          <t>кг</t>
        </is>
      </c>
      <c r="E58" s="63" t="n">
        <v>0.64261</v>
      </c>
      <c r="F58" s="179" t="n">
        <v>1.82</v>
      </c>
      <c r="G58" s="14">
        <f>ROUND(F58*E58,2)</f>
        <v/>
      </c>
      <c r="H58" s="171">
        <f>G58/$G$61</f>
        <v/>
      </c>
      <c r="I58" s="14">
        <f>ROUND(F58*Прил.10!$D$12,2)</f>
        <v/>
      </c>
      <c r="J58" s="14">
        <f>ROUND(I58*E58,2)</f>
        <v/>
      </c>
    </row>
    <row r="59" outlineLevel="1" ht="25.5" customFormat="1" customHeight="1" s="133">
      <c r="A59" s="161" t="n">
        <v>27</v>
      </c>
      <c r="B59" s="64" t="inlineStr">
        <is>
          <t>999-9950</t>
        </is>
      </c>
      <c r="C59" s="160" t="inlineStr">
        <is>
          <t>Вспомогательные ненормируемые ресурсы (2% от Оплаты труда рабочих)</t>
        </is>
      </c>
      <c r="D59" s="161" t="inlineStr">
        <is>
          <t>руб</t>
        </is>
      </c>
      <c r="E59" s="63" t="n">
        <v>0.4646</v>
      </c>
      <c r="F59" s="179" t="n">
        <v>1</v>
      </c>
      <c r="G59" s="14">
        <f>ROUND(F59*E59,2)</f>
        <v/>
      </c>
      <c r="H59" s="171">
        <f>G59/$G$61</f>
        <v/>
      </c>
      <c r="I59" s="14">
        <f>ROUND(F59*Прил.10!$D$12,2)</f>
        <v/>
      </c>
      <c r="J59" s="14">
        <f>ROUND(I59*E59,2)</f>
        <v/>
      </c>
    </row>
    <row r="60" ht="14.25" customFormat="1" customHeight="1" s="133">
      <c r="A60" s="161" t="n"/>
      <c r="B60" s="161" t="n"/>
      <c r="C60" s="160" t="inlineStr">
        <is>
          <t>Итого прочие материалы</t>
        </is>
      </c>
      <c r="D60" s="161" t="n"/>
      <c r="E60" s="162" t="n"/>
      <c r="F60" s="163" t="n"/>
      <c r="G60" s="14">
        <f>SUM(G43:G59)</f>
        <v/>
      </c>
      <c r="H60" s="171">
        <f>G60/G61</f>
        <v/>
      </c>
      <c r="I60" s="14" t="n"/>
      <c r="J60" s="14">
        <f>SUM(J43:J59)</f>
        <v/>
      </c>
      <c r="L60" s="115" t="n"/>
    </row>
    <row r="61" ht="14.25" customFormat="1" customHeight="1" s="133">
      <c r="A61" s="161" t="n"/>
      <c r="B61" s="161" t="n"/>
      <c r="C61" s="154" t="inlineStr">
        <is>
          <t>Итого по разделу «Материалы»</t>
        </is>
      </c>
      <c r="D61" s="161" t="n"/>
      <c r="E61" s="162" t="n"/>
      <c r="F61" s="163" t="n"/>
      <c r="G61" s="14">
        <f>G42+G60</f>
        <v/>
      </c>
      <c r="H61" s="171" t="n">
        <v>1</v>
      </c>
      <c r="I61" s="163" t="n"/>
      <c r="J61" s="14">
        <f>J42+J60</f>
        <v/>
      </c>
      <c r="K61" s="62" t="n"/>
    </row>
    <row r="62" ht="14.25" customFormat="1" customHeight="1" s="133">
      <c r="A62" s="161" t="n"/>
      <c r="B62" s="161" t="n"/>
      <c r="C62" s="160" t="inlineStr">
        <is>
          <t>ИТОГО ПО РМ</t>
        </is>
      </c>
      <c r="D62" s="161" t="n"/>
      <c r="E62" s="162" t="n"/>
      <c r="F62" s="163" t="n"/>
      <c r="G62" s="14">
        <f>G14+G25+G61</f>
        <v/>
      </c>
      <c r="H62" s="171" t="n"/>
      <c r="I62" s="163" t="n"/>
      <c r="J62" s="14">
        <f>J14+J25+J61</f>
        <v/>
      </c>
    </row>
    <row r="63" ht="14.25" customFormat="1" customHeight="1" s="133">
      <c r="A63" s="161" t="n"/>
      <c r="B63" s="161" t="n"/>
      <c r="C63" s="160" t="inlineStr">
        <is>
          <t>Накладные расходы</t>
        </is>
      </c>
      <c r="D63" s="161" t="inlineStr">
        <is>
          <t>%</t>
        </is>
      </c>
      <c r="E63" s="73">
        <f>ROUND(G63/(G14+G16),2)</f>
        <v/>
      </c>
      <c r="F63" s="163" t="n"/>
      <c r="G63" s="14" t="n">
        <v>1077.2</v>
      </c>
      <c r="H63" s="171" t="n"/>
      <c r="I63" s="163" t="n"/>
      <c r="J63" s="14">
        <f>ROUND(E63*(J14+J16),2)</f>
        <v/>
      </c>
      <c r="K63" s="74" t="n"/>
    </row>
    <row r="64" ht="14.25" customFormat="1" customHeight="1" s="133">
      <c r="A64" s="161" t="n"/>
      <c r="B64" s="161" t="n"/>
      <c r="C64" s="160" t="inlineStr">
        <is>
          <t>Сметная прибыль</t>
        </is>
      </c>
      <c r="D64" s="161" t="inlineStr">
        <is>
          <t>%</t>
        </is>
      </c>
      <c r="E64" s="73">
        <f>ROUND(G64/(G14+G16),2)</f>
        <v/>
      </c>
      <c r="F64" s="163" t="n"/>
      <c r="G64" s="14" t="n">
        <v>625.98</v>
      </c>
      <c r="H64" s="171" t="n"/>
      <c r="I64" s="163" t="n"/>
      <c r="J64" s="14">
        <f>ROUND(E64*(J14+J16),2)</f>
        <v/>
      </c>
      <c r="K64" s="74" t="n"/>
    </row>
    <row r="65" ht="14.25" customFormat="1" customHeight="1" s="133">
      <c r="A65" s="161" t="n"/>
      <c r="B65" s="161" t="n"/>
      <c r="C65" s="160" t="inlineStr">
        <is>
          <t>Итого СМР (с НР и СП)</t>
        </is>
      </c>
      <c r="D65" s="161" t="n"/>
      <c r="E65" s="162" t="n"/>
      <c r="F65" s="163" t="n"/>
      <c r="G65" s="14">
        <f>G14+G25+G61+G63+G64</f>
        <v/>
      </c>
      <c r="H65" s="171" t="n"/>
      <c r="I65" s="163" t="n"/>
      <c r="J65" s="14">
        <f>J14+J25+J61+J63+J64</f>
        <v/>
      </c>
      <c r="L65" s="75" t="n"/>
    </row>
    <row r="66" ht="14.25" customFormat="1" customHeight="1" s="133">
      <c r="A66" s="161" t="n"/>
      <c r="B66" s="161" t="n"/>
      <c r="C66" s="160" t="inlineStr">
        <is>
          <t>ВСЕГО СМР + ОБОРУДОВАНИЕ</t>
        </is>
      </c>
      <c r="D66" s="161" t="n"/>
      <c r="E66" s="162" t="n"/>
      <c r="F66" s="163" t="n"/>
      <c r="G66" s="14">
        <f>G65+G34</f>
        <v/>
      </c>
      <c r="H66" s="171" t="n"/>
      <c r="I66" s="163" t="n"/>
      <c r="J66" s="14">
        <f>J65+J34</f>
        <v/>
      </c>
      <c r="L66" s="74" t="n"/>
    </row>
    <row r="67" ht="14.25" customFormat="1" customHeight="1" s="133">
      <c r="A67" s="161" t="n"/>
      <c r="B67" s="161" t="n"/>
      <c r="C67" s="160" t="inlineStr">
        <is>
          <t>ИТОГО ПОКАЗАТЕЛЬ НА ЕД. ИЗМ.</t>
        </is>
      </c>
      <c r="D67" s="161" t="inlineStr">
        <is>
          <t>ед.</t>
        </is>
      </c>
      <c r="E67" s="122" t="n">
        <v>63</v>
      </c>
      <c r="F67" s="163" t="n"/>
      <c r="G67" s="14">
        <f>G66/E67</f>
        <v/>
      </c>
      <c r="H67" s="171" t="n"/>
      <c r="I67" s="163" t="n"/>
      <c r="J67" s="14">
        <f>J66/E67</f>
        <v/>
      </c>
      <c r="L67" s="115" t="n"/>
    </row>
    <row r="69" ht="14.25" customFormat="1" customHeight="1" s="133">
      <c r="A69" s="131" t="n"/>
    </row>
    <row r="70" ht="14.25" customFormat="1" customHeight="1" s="133">
      <c r="A70" s="123" t="inlineStr">
        <is>
          <t>Составил ______________________        А.П. Николаева</t>
        </is>
      </c>
    </row>
    <row r="71" ht="14.25" customFormat="1" customHeight="1" s="133">
      <c r="A71" s="134" t="inlineStr">
        <is>
          <t xml:space="preserve">                         (подпись, инициалы, фамилия)</t>
        </is>
      </c>
    </row>
    <row r="72" ht="14.25" customFormat="1" customHeight="1" s="133">
      <c r="A72" s="123" t="n"/>
    </row>
    <row r="73" ht="14.25" customFormat="1" customHeight="1" s="133">
      <c r="A73" s="123" t="inlineStr">
        <is>
          <t>Проверил ______________________        А.В. Костянецкая</t>
        </is>
      </c>
    </row>
    <row r="74" ht="14.25" customFormat="1" customHeight="1" s="133">
      <c r="A74" s="134" t="inlineStr">
        <is>
          <t xml:space="preserve">                        (подпись, инициалы, фамилия)</t>
        </is>
      </c>
    </row>
  </sheetData>
  <mergeCells count="18">
    <mergeCell ref="A4:H4"/>
    <mergeCell ref="B9:B10"/>
    <mergeCell ref="C9:C10"/>
    <mergeCell ref="D9:D10"/>
    <mergeCell ref="E9:E10"/>
    <mergeCell ref="H9:H10"/>
    <mergeCell ref="B17:H17"/>
    <mergeCell ref="B18:H18"/>
    <mergeCell ref="A9:A10"/>
    <mergeCell ref="B36:J36"/>
    <mergeCell ref="B12:H12"/>
    <mergeCell ref="D6:J6"/>
    <mergeCell ref="B26:J26"/>
    <mergeCell ref="B27:J27"/>
    <mergeCell ref="B15:H15"/>
    <mergeCell ref="B37:H37"/>
    <mergeCell ref="I9:J9"/>
    <mergeCell ref="F9:G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0" t="inlineStr">
        <is>
          <t>Приложение №6</t>
        </is>
      </c>
    </row>
    <row r="2" hidden="1">
      <c r="A2" s="180" t="n"/>
      <c r="B2" s="180" t="n"/>
      <c r="C2" s="180" t="n"/>
      <c r="D2" s="180" t="n"/>
      <c r="E2" s="180" t="n"/>
      <c r="F2" s="180" t="n"/>
      <c r="G2" s="180" t="n"/>
    </row>
    <row r="3" hidden="1">
      <c r="A3" s="180" t="n"/>
      <c r="B3" s="180" t="n"/>
      <c r="C3" s="180" t="n"/>
      <c r="D3" s="180" t="n"/>
      <c r="E3" s="180" t="n"/>
      <c r="F3" s="180" t="n"/>
      <c r="G3" s="180" t="n"/>
    </row>
    <row r="4">
      <c r="A4" s="180" t="n"/>
      <c r="B4" s="180" t="n"/>
      <c r="C4" s="180" t="n"/>
      <c r="D4" s="180" t="n"/>
      <c r="E4" s="180" t="n"/>
      <c r="F4" s="180" t="n"/>
      <c r="G4" s="180" t="n"/>
    </row>
    <row r="5">
      <c r="A5" s="158" t="inlineStr">
        <is>
          <t>Расчет стоимости оборудования</t>
        </is>
      </c>
    </row>
    <row r="6" ht="64.5" customHeight="1">
      <c r="B6" s="103">
        <f>'Прил.1 Сравнит табл'!B6</f>
        <v/>
      </c>
      <c r="C6" s="118" t="n"/>
      <c r="D6" s="182">
        <f>'Прил.1 Сравнит табл'!D6</f>
        <v/>
      </c>
    </row>
    <row r="7">
      <c r="A7" s="123" t="n"/>
      <c r="B7" s="123" t="n"/>
      <c r="C7" s="123" t="n"/>
      <c r="D7" s="123" t="n"/>
      <c r="E7" s="123" t="n"/>
      <c r="F7" s="123" t="n"/>
      <c r="G7" s="123" t="n"/>
    </row>
    <row r="8" ht="30" customHeight="1">
      <c r="A8" s="181" t="inlineStr">
        <is>
          <t>№ пп.</t>
        </is>
      </c>
      <c r="B8" s="181" t="inlineStr">
        <is>
          <t>Код ресурса</t>
        </is>
      </c>
      <c r="C8" s="181" t="inlineStr">
        <is>
          <t>Наименование</t>
        </is>
      </c>
      <c r="D8" s="181" t="inlineStr">
        <is>
          <t>Ед. изм.</t>
        </is>
      </c>
      <c r="E8" s="161" t="inlineStr">
        <is>
          <t>Кол-во единиц по проектным данным</t>
        </is>
      </c>
      <c r="F8" s="181" t="inlineStr">
        <is>
          <t>Сметная стоимость в ценах на 01.01.2000 (руб.)</t>
        </is>
      </c>
      <c r="G8" s="190" t="n"/>
    </row>
    <row r="9">
      <c r="A9" s="192" t="n"/>
      <c r="B9" s="192" t="n"/>
      <c r="C9" s="192" t="n"/>
      <c r="D9" s="192" t="n"/>
      <c r="E9" s="192" t="n"/>
      <c r="F9" s="161" t="inlineStr">
        <is>
          <t>на ед. изм.</t>
        </is>
      </c>
      <c r="G9" s="161" t="inlineStr">
        <is>
          <t>общая</t>
        </is>
      </c>
    </row>
    <row r="10">
      <c r="A10" s="161" t="n">
        <v>1</v>
      </c>
      <c r="B10" s="161" t="n">
        <v>2</v>
      </c>
      <c r="C10" s="161" t="n">
        <v>3</v>
      </c>
      <c r="D10" s="161" t="n">
        <v>4</v>
      </c>
      <c r="E10" s="161" t="n">
        <v>5</v>
      </c>
      <c r="F10" s="161" t="n">
        <v>6</v>
      </c>
      <c r="G10" s="161" t="n">
        <v>7</v>
      </c>
    </row>
    <row r="11" ht="15" customHeight="1">
      <c r="A11" s="7" t="n"/>
      <c r="B11" s="160" t="inlineStr">
        <is>
          <t>ИНЖЕНЕРНОЕ ОБОРУДОВАНИЕ</t>
        </is>
      </c>
      <c r="C11" s="189" t="n"/>
      <c r="D11" s="189" t="n"/>
      <c r="E11" s="189" t="n"/>
      <c r="F11" s="189" t="n"/>
      <c r="G11" s="190" t="n"/>
    </row>
    <row r="12" ht="26.25" customHeight="1">
      <c r="A12" s="161" t="n"/>
      <c r="B12" s="154" t="n"/>
      <c r="C12" s="160" t="inlineStr">
        <is>
          <t>ИТОГО ИНЖЕНЕРНОЕ ОБОРУДОВАНИЕ</t>
        </is>
      </c>
      <c r="D12" s="154" t="n"/>
      <c r="E12" s="8" t="n"/>
      <c r="F12" s="163" t="n"/>
      <c r="G12" s="163" t="n">
        <v>0</v>
      </c>
    </row>
    <row r="13">
      <c r="A13" s="161" t="n"/>
      <c r="B13" s="160" t="inlineStr">
        <is>
          <t>ТЕХНОЛОГИЧЕСКОЕ ОБОРУДОВАНИЕ</t>
        </is>
      </c>
      <c r="C13" s="189" t="n"/>
      <c r="D13" s="189" t="n"/>
      <c r="E13" s="189" t="n"/>
      <c r="F13" s="189" t="n"/>
      <c r="G13" s="190" t="n"/>
    </row>
    <row r="14" hidden="1" ht="76.5" customHeight="1">
      <c r="A14" s="161" t="n"/>
      <c r="B14" s="64" t="inlineStr">
        <is>
          <t>Ориентир цены, подлежит уточнению на основании данных Мониторинга</t>
        </is>
      </c>
      <c r="C14" s="12" t="n"/>
      <c r="D14" s="12" t="n"/>
      <c r="E14" s="107" t="n"/>
      <c r="F14" s="14" t="n"/>
      <c r="G14" s="14">
        <f>ROUND(E14*F14,2)</f>
        <v/>
      </c>
    </row>
    <row r="15" hidden="1" ht="76.5" customHeight="1">
      <c r="A15" s="161" t="n"/>
      <c r="B15" s="64" t="inlineStr">
        <is>
          <t>Ориентир цены, подлежит уточнению на основании данных Мониторинга</t>
        </is>
      </c>
      <c r="C15" s="12" t="n"/>
      <c r="D15" s="12" t="n"/>
      <c r="E15" s="107" t="n"/>
      <c r="F15" s="14" t="n"/>
      <c r="G15" s="14">
        <f>ROUND(E15*F15,2)</f>
        <v/>
      </c>
    </row>
    <row r="16" ht="25.5" customHeight="1">
      <c r="A16" s="161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3" t="n"/>
      <c r="G16" s="14">
        <f>SUM(G14:G15)</f>
        <v/>
      </c>
    </row>
    <row r="17" ht="19.5" customHeight="1">
      <c r="A17" s="161" t="n"/>
      <c r="B17" s="160" t="n"/>
      <c r="C17" s="160" t="inlineStr">
        <is>
          <t>Всего по разделу «Оборудование»</t>
        </is>
      </c>
      <c r="D17" s="160" t="n"/>
      <c r="E17" s="179" t="n"/>
      <c r="F17" s="163" t="n"/>
      <c r="G17" s="14">
        <f>G12+G16</f>
        <v/>
      </c>
    </row>
    <row r="18">
      <c r="A18" s="131" t="n"/>
      <c r="B18" s="132" t="n"/>
      <c r="C18" s="131" t="n"/>
      <c r="D18" s="131" t="n"/>
      <c r="E18" s="131" t="n"/>
      <c r="F18" s="131" t="n"/>
      <c r="G18" s="131" t="n"/>
    </row>
    <row r="19">
      <c r="A19" s="123" t="inlineStr">
        <is>
          <t>Составил ______________________        А.П. Николаева</t>
        </is>
      </c>
      <c r="B19" s="133" t="n"/>
      <c r="C19" s="133" t="n"/>
      <c r="D19" s="131" t="n"/>
      <c r="E19" s="131" t="n"/>
      <c r="F19" s="131" t="n"/>
      <c r="G19" s="131" t="n"/>
    </row>
    <row r="20">
      <c r="A20" s="134" t="inlineStr">
        <is>
          <t xml:space="preserve">                         (подпись, инициалы, фамилия)</t>
        </is>
      </c>
      <c r="B20" s="133" t="n"/>
      <c r="C20" s="133" t="n"/>
      <c r="D20" s="131" t="n"/>
      <c r="E20" s="131" t="n"/>
      <c r="F20" s="131" t="n"/>
      <c r="G20" s="131" t="n"/>
    </row>
    <row r="21">
      <c r="A21" s="123" t="n"/>
      <c r="B21" s="133" t="n"/>
      <c r="C21" s="133" t="n"/>
      <c r="D21" s="131" t="n"/>
      <c r="E21" s="131" t="n"/>
      <c r="F21" s="131" t="n"/>
      <c r="G21" s="131" t="n"/>
    </row>
    <row r="22">
      <c r="A22" s="123" t="inlineStr">
        <is>
          <t>Проверил ______________________        А.В. Костянецкая</t>
        </is>
      </c>
      <c r="B22" s="133" t="n"/>
      <c r="C22" s="133" t="n"/>
      <c r="D22" s="131" t="n"/>
      <c r="E22" s="131" t="n"/>
      <c r="F22" s="131" t="n"/>
      <c r="G22" s="131" t="n"/>
    </row>
    <row r="23">
      <c r="A23" s="134" t="inlineStr">
        <is>
          <t xml:space="preserve">                        (подпись, инициалы, фамилия)</t>
        </is>
      </c>
      <c r="B23" s="133" t="n"/>
      <c r="C23" s="133" t="n"/>
      <c r="D23" s="131" t="n"/>
      <c r="E23" s="131" t="n"/>
      <c r="F23" s="131" t="n"/>
      <c r="G23" s="131" t="n"/>
    </row>
  </sheetData>
  <mergeCells count="11">
    <mergeCell ref="A8:A9"/>
    <mergeCell ref="A1:G1"/>
    <mergeCell ref="E8:E9"/>
    <mergeCell ref="C8:C9"/>
    <mergeCell ref="B11:G11"/>
    <mergeCell ref="D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23" t="n"/>
      <c r="C1" s="123" t="n"/>
      <c r="D1" s="180" t="inlineStr">
        <is>
          <t>Приложение №7</t>
        </is>
      </c>
    </row>
    <row r="2">
      <c r="A2" s="180" t="n"/>
      <c r="B2" s="180" t="n"/>
      <c r="C2" s="180" t="n"/>
      <c r="D2" s="180" t="n"/>
    </row>
    <row r="3" ht="24.75" customHeight="1">
      <c r="A3" s="158" t="inlineStr">
        <is>
          <t>Расчет показателя УНЦ</t>
        </is>
      </c>
    </row>
    <row r="4" ht="24.75" customHeight="1">
      <c r="A4" s="158" t="n"/>
      <c r="B4" s="158" t="n"/>
      <c r="C4" s="158" t="n"/>
      <c r="D4" s="158" t="n"/>
    </row>
    <row r="5" ht="36.75" customHeight="1">
      <c r="A5" s="183" t="inlineStr">
        <is>
          <t xml:space="preserve">Наименование разрабатываемого показателя УНЦ - </t>
        </is>
      </c>
      <c r="D5" s="183">
        <f>'Прил.5 Расчет СМР и ОБ'!D6:J6</f>
        <v/>
      </c>
    </row>
    <row r="6" ht="19.9" customHeight="1">
      <c r="A6" s="183" t="inlineStr">
        <is>
          <t>Единица измерения  — 1 км</t>
        </is>
      </c>
      <c r="D6" s="183" t="n"/>
    </row>
    <row r="7">
      <c r="A7" s="123" t="n"/>
      <c r="B7" s="123" t="n"/>
      <c r="C7" s="123" t="n"/>
      <c r="D7" s="123" t="n"/>
    </row>
    <row r="8" ht="14.45" customHeight="1">
      <c r="A8" s="153" t="inlineStr">
        <is>
          <t>Код показателя</t>
        </is>
      </c>
      <c r="B8" s="153" t="inlineStr">
        <is>
          <t>Наименование показателя</t>
        </is>
      </c>
      <c r="C8" s="153" t="inlineStr">
        <is>
          <t>Наименование РМ, входящих в состав показателя</t>
        </is>
      </c>
      <c r="D8" s="153" t="inlineStr">
        <is>
          <t>Норматив цены на 01.01.2023, тыс.руб.</t>
        </is>
      </c>
    </row>
    <row r="9" ht="15" customHeight="1">
      <c r="A9" s="192" t="n"/>
      <c r="B9" s="192" t="n"/>
      <c r="C9" s="192" t="n"/>
      <c r="D9" s="192" t="n"/>
    </row>
    <row r="10">
      <c r="A10" s="161" t="n">
        <v>1</v>
      </c>
      <c r="B10" s="161" t="n">
        <v>2</v>
      </c>
      <c r="C10" s="161" t="n">
        <v>3</v>
      </c>
      <c r="D10" s="161" t="n">
        <v>4</v>
      </c>
    </row>
    <row r="11" ht="41.45" customHeight="1">
      <c r="A11" s="161" t="inlineStr">
        <is>
          <t>Л11-01</t>
        </is>
      </c>
      <c r="B11" s="161" t="inlineStr">
        <is>
          <t xml:space="preserve">УНЦ арматуры, крепления, защиты от перенапряжений ВЛ 0,4-35 кВ </t>
        </is>
      </c>
      <c r="C11" s="128">
        <f>D5</f>
        <v/>
      </c>
      <c r="D11" s="129">
        <f>'Прил.4 РМ'!C41</f>
        <v/>
      </c>
      <c r="E11" s="130" t="n"/>
    </row>
    <row r="12">
      <c r="A12" s="131" t="n"/>
      <c r="B12" s="132" t="n"/>
      <c r="C12" s="131" t="n"/>
      <c r="D12" s="131" t="n"/>
    </row>
    <row r="13">
      <c r="A13" s="123" t="inlineStr">
        <is>
          <t>Составил ______________________        А.П. Николаева</t>
        </is>
      </c>
      <c r="B13" s="133" t="n"/>
      <c r="C13" s="133" t="n"/>
      <c r="D13" s="131" t="n"/>
    </row>
    <row r="14">
      <c r="A14" s="134" t="inlineStr">
        <is>
          <t xml:space="preserve">                         (подпись, инициалы, фамилия)</t>
        </is>
      </c>
      <c r="B14" s="133" t="n"/>
      <c r="C14" s="133" t="n"/>
      <c r="D14" s="131" t="n"/>
    </row>
    <row r="15">
      <c r="A15" s="123" t="n"/>
      <c r="B15" s="133" t="n"/>
      <c r="C15" s="133" t="n"/>
      <c r="D15" s="131" t="n"/>
    </row>
    <row r="16">
      <c r="A16" s="123" t="inlineStr">
        <is>
          <t>Проверил ______________________        А.В. Костянецкая</t>
        </is>
      </c>
      <c r="B16" s="133" t="n"/>
      <c r="C16" s="133" t="n"/>
      <c r="D16" s="131" t="n"/>
    </row>
    <row r="17">
      <c r="A17" s="134" t="inlineStr">
        <is>
          <t xml:space="preserve">                        (подпись, инициалы, фамилия)</t>
        </is>
      </c>
      <c r="B17" s="133" t="n"/>
      <c r="C17" s="133" t="n"/>
      <c r="D17" s="1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B8" zoomScale="60" zoomScaleNormal="100" workbookViewId="0">
      <selection activeCell="B26" sqref="B26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6" t="inlineStr">
        <is>
          <t>Приложение № 10</t>
        </is>
      </c>
    </row>
    <row r="5" ht="18.75" customHeight="1">
      <c r="B5" s="35" t="n"/>
    </row>
    <row r="6" ht="15.75" customHeight="1">
      <c r="B6" s="150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53" t="inlineStr">
        <is>
          <t>Наименование индекса / норм сопутствующих затрат</t>
        </is>
      </c>
      <c r="C8" s="153" t="inlineStr">
        <is>
          <t>Дата применения и обоснование индекса / норм сопутствующих затрат</t>
        </is>
      </c>
      <c r="D8" s="153" t="inlineStr">
        <is>
          <t>Размер индекса / норма сопутствующих затрат</t>
        </is>
      </c>
    </row>
    <row r="9" ht="15.75" customHeight="1">
      <c r="B9" s="153" t="n">
        <v>1</v>
      </c>
      <c r="C9" s="153" t="n">
        <v>2</v>
      </c>
      <c r="D9" s="153" t="n">
        <v>3</v>
      </c>
    </row>
    <row r="10" ht="45" customHeight="1">
      <c r="B10" s="153" t="inlineStr">
        <is>
          <t xml:space="preserve">Индекс изменения сметной стоимости на 1 квартал 2023 года. ОЗП </t>
        </is>
      </c>
      <c r="C10" s="153" t="inlineStr">
        <is>
          <t>Письмо Минстроя России от 30.03.2023г. №17106-ИФ/09  прил.1</t>
        </is>
      </c>
      <c r="D10" s="153" t="n">
        <v>44.29</v>
      </c>
    </row>
    <row r="11" ht="29.25" customHeight="1">
      <c r="B11" s="153" t="inlineStr">
        <is>
          <t>Индекс изменения сметной стоимости на 1 квартал 2023 года. ЭМ</t>
        </is>
      </c>
      <c r="C11" s="153" t="inlineStr">
        <is>
          <t>Письмо Минстроя России от 30.03.2023г. №17106-ИФ/09  прил.1</t>
        </is>
      </c>
      <c r="D11" s="153" t="n">
        <v>11.72</v>
      </c>
    </row>
    <row r="12" ht="29.25" customHeight="1">
      <c r="B12" s="153" t="inlineStr">
        <is>
          <t>Индекс изменения сметной стоимости на 1 квартал 2023 года. МАТ</t>
        </is>
      </c>
      <c r="C12" s="153" t="inlineStr">
        <is>
          <t>Письмо Минстроя России от 30.03.2023г. №17106-ИФ/09  прил.1</t>
        </is>
      </c>
      <c r="D12" s="153" t="n">
        <v>7.74</v>
      </c>
    </row>
    <row r="13" ht="30.75" customHeight="1">
      <c r="B13" s="153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53" t="n">
        <v>6.26</v>
      </c>
    </row>
    <row r="14" ht="89.25" customHeight="1">
      <c r="B14" s="153" t="inlineStr">
        <is>
          <t>Временные здания и сооружения</t>
        </is>
      </c>
      <c r="C14" s="1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0.025</v>
      </c>
    </row>
    <row r="15" ht="78.75" customHeight="1">
      <c r="B15" s="153" t="inlineStr">
        <is>
          <t>Дополнительные затраты при производстве строительно-монтажных работ в зимнее время</t>
        </is>
      </c>
      <c r="C15" s="1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0.019</v>
      </c>
    </row>
    <row r="16" ht="34.5" customHeight="1">
      <c r="B16" s="153" t="inlineStr">
        <is>
          <t>Пусконаладочные работы</t>
        </is>
      </c>
      <c r="C16" s="153" t="n"/>
      <c r="D16" s="153" t="inlineStr">
        <is>
          <t>Расчёт</t>
        </is>
      </c>
    </row>
    <row r="17" ht="31.5" customHeight="1">
      <c r="B17" s="153" t="inlineStr">
        <is>
          <t>Строительный контроль</t>
        </is>
      </c>
      <c r="C17" s="153" t="inlineStr">
        <is>
          <t>Постановление Правительства РФ от 21.06.10 г. № 468</t>
        </is>
      </c>
      <c r="D17" s="42" t="n">
        <v>0.0214</v>
      </c>
    </row>
    <row r="18" ht="31.5" customHeight="1">
      <c r="B18" s="153" t="inlineStr">
        <is>
          <t>Авторский надзор - 0,2%</t>
        </is>
      </c>
      <c r="C18" s="153" t="inlineStr">
        <is>
          <t>Приказ от 4.08.2020 № 421/пр п.173</t>
        </is>
      </c>
      <c r="D18" s="42" t="n">
        <v>0.002</v>
      </c>
    </row>
    <row r="19" ht="24" customHeight="1">
      <c r="B19" s="153" t="inlineStr">
        <is>
          <t>Непредвиденные расходы</t>
        </is>
      </c>
      <c r="C19" s="153" t="inlineStr">
        <is>
          <t>Приказ от 4.08.2020 № 421/пр п.179</t>
        </is>
      </c>
      <c r="D19" s="42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23" t="inlineStr">
        <is>
          <t>Составил ______________________        А.П. Николаева</t>
        </is>
      </c>
      <c r="C26" s="133" t="n"/>
    </row>
    <row r="27">
      <c r="B27" s="134" t="inlineStr">
        <is>
          <t xml:space="preserve">                         (подпись, инициалы, фамилия)</t>
        </is>
      </c>
      <c r="C27" s="133" t="n"/>
    </row>
    <row r="28">
      <c r="B28" s="123" t="n"/>
      <c r="C28" s="133" t="n"/>
    </row>
    <row r="29">
      <c r="B29" s="123" t="inlineStr">
        <is>
          <t>Проверил ______________________        А.В. Костянецкая</t>
        </is>
      </c>
      <c r="C29" s="133" t="n"/>
    </row>
    <row r="30">
      <c r="B30" s="134" t="inlineStr">
        <is>
          <t xml:space="preserve">                        (подпись, инициалы, фамилия)</t>
        </is>
      </c>
      <c r="C30" s="1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J12" sqref="J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3.9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1.324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n"/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2025-01-24T12:09:49Z</dcterms:modified>
  <cp:lastModifiedBy>Danil</cp:lastModifiedBy>
  <cp:lastPrinted>2023-11-27T07:59:52Z</cp:lastPrinted>
</cp:coreProperties>
</file>