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750" windowHeight="12300" tabRatio="891" firstSheet="0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табл'!$B$3</definedName>
    <definedName name="_Hlk133322969" localSheetId="1">'Прил.2 Расч стоим'!$B$4</definedName>
    <definedName name="_Toc132270799" localSheetId="2">Прил.3!$A$2</definedName>
    <definedName name="_xlnm.Print_Area" localSheetId="2">'Прил.3'!$A$1:$H$32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РМ'!$B$4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Area" localSheetId="4">'Прил.5 Расчет СМР и ОБ'!$A$1:$J$49</definedName>
  </definedNames>
  <calcPr calcId="162913" fullCalcOnLoad="1"/>
</workbook>
</file>

<file path=xl/styles.xml><?xml version="1.0" encoding="utf-8"?>
<styleSheet xmlns="http://schemas.openxmlformats.org/spreadsheetml/2006/main">
  <numFmts count="6">
    <numFmt numFmtId="164" formatCode="#,##0.0000"/>
    <numFmt numFmtId="165" formatCode="#,##0.00000"/>
    <numFmt numFmtId="166" formatCode="0.0000"/>
    <numFmt numFmtId="167" formatCode="0.000"/>
    <numFmt numFmtId="168" formatCode="#,##0.000"/>
    <numFmt numFmtId="169" formatCode="#,##0.0"/>
  </numFmts>
  <fonts count="16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Arial"/>
      <color rgb="FF000000"/>
      <sz val="8"/>
    </font>
    <font>
      <name val="Arial"/>
      <b val="1"/>
      <color rgb="FFC00000"/>
      <sz val="11"/>
    </font>
    <font>
      <name val="Times New Roman"/>
      <b val="1"/>
      <color rgb="FF000000"/>
      <sz val="12"/>
    </font>
    <font>
      <name val="Arial"/>
      <b val="1"/>
      <color rgb="FF000000"/>
      <sz val="11"/>
    </font>
    <font>
      <name val="Times New Roman"/>
      <color rgb="FF000000"/>
      <sz val="14"/>
      <vertAlign val="superscript"/>
    </font>
    <font>
      <name val="Times New Roman"/>
      <color rgb="FFFF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7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right"/>
    </xf>
    <xf numFmtId="1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10" fontId="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1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10" fontId="2" fillId="0" borderId="0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0" fontId="2" fillId="0" borderId="1" applyAlignment="1" pivotButton="0" quotePrefix="0" xfId="0">
      <alignment horizontal="left" vertical="center" wrapText="1"/>
    </xf>
    <xf numFmtId="164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49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65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1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0" applyAlignment="1" pivotButton="0" quotePrefix="0" xfId="0">
      <alignment horizontal="right"/>
    </xf>
    <xf numFmtId="0" fontId="6" fillId="0" borderId="0" pivotButton="0" quotePrefix="0" xfId="0"/>
    <xf numFmtId="0" fontId="2" fillId="0" borderId="0" pivotButton="0" quotePrefix="0" xfId="0"/>
    <xf numFmtId="0" fontId="7" fillId="0" borderId="0" applyAlignment="1" pivotButton="0" quotePrefix="0" xfId="0">
      <alignment vertical="center"/>
    </xf>
    <xf numFmtId="0" fontId="0" fillId="0" borderId="0" pivotButton="0" quotePrefix="0" xfId="0"/>
    <xf numFmtId="2" fontId="2" fillId="0" borderId="1" applyAlignment="1" pivotButton="0" quotePrefix="0" xfId="0">
      <alignment horizontal="right" vertical="center" wrapText="1"/>
    </xf>
    <xf numFmtId="166" fontId="1" fillId="0" borderId="0" pivotButton="0" quotePrefix="0" xfId="0"/>
    <xf numFmtId="0" fontId="8" fillId="0" borderId="0" applyAlignment="1" pivotButton="0" quotePrefix="0" xfId="0">
      <alignment horizontal="left"/>
    </xf>
    <xf numFmtId="49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right" vertical="center" wrapText="1"/>
    </xf>
    <xf numFmtId="0" fontId="0" fillId="0" borderId="1" pivotButton="0" quotePrefix="0" xfId="0"/>
    <xf numFmtId="2" fontId="2" fillId="0" borderId="1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3" applyAlignment="1" pivotButton="0" quotePrefix="0" xfId="0">
      <alignment horizontal="center" vertical="center" wrapText="1"/>
    </xf>
    <xf numFmtId="0" fontId="9" fillId="0" borderId="0" pivotButton="0" quotePrefix="0" xfId="0"/>
    <xf numFmtId="4" fontId="2" fillId="0" borderId="0" applyAlignment="1" pivotButton="0" quotePrefix="0" xfId="0">
      <alignment vertical="center"/>
    </xf>
    <xf numFmtId="4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166" fontId="10" fillId="0" borderId="0" pivotButton="0" quotePrefix="0" xfId="0"/>
    <xf numFmtId="4" fontId="6" fillId="0" borderId="0" applyAlignment="1" pivotButton="0" quotePrefix="0" xfId="0">
      <alignment horizontal="left"/>
    </xf>
    <xf numFmtId="4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horizontal="left" vertical="center" wrapText="1"/>
    </xf>
    <xf numFmtId="10" fontId="0" fillId="0" borderId="0" pivotButton="0" quotePrefix="0" xfId="0"/>
    <xf numFmtId="2" fontId="6" fillId="0" borderId="1" applyAlignment="1" pivotButton="0" quotePrefix="0" xfId="0">
      <alignment horizontal="center" vertical="center" wrapText="1"/>
    </xf>
    <xf numFmtId="167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 wrapText="1"/>
    </xf>
    <xf numFmtId="0" fontId="6" fillId="0" borderId="0" applyAlignment="1" pivotButton="0" quotePrefix="1" xfId="0">
      <alignment horizontal="center" vertical="center"/>
    </xf>
    <xf numFmtId="0" fontId="6" fillId="0" borderId="1" applyAlignment="1" pivotButton="0" quotePrefix="0" xfId="0">
      <alignment vertical="center" wrapText="1"/>
    </xf>
    <xf numFmtId="168" fontId="6" fillId="0" borderId="1" applyAlignment="1" pivotButton="0" quotePrefix="0" xfId="0">
      <alignment horizontal="right" vertical="center"/>
    </xf>
    <xf numFmtId="168" fontId="6" fillId="0" borderId="1" applyAlignment="1" pivotButton="0" quotePrefix="0" xfId="0">
      <alignment horizontal="right" vertical="center" wrapText="1"/>
    </xf>
    <xf numFmtId="168" fontId="9" fillId="0" borderId="1" applyAlignment="1" pivotButton="0" quotePrefix="0" xfId="0">
      <alignment vertical="center" wrapText="1"/>
    </xf>
    <xf numFmtId="168" fontId="9" fillId="0" borderId="1" applyAlignment="1" pivotButton="0" quotePrefix="0" xfId="0">
      <alignment vertical="center" wrapText="1"/>
    </xf>
    <xf numFmtId="0" fontId="11" fillId="0" borderId="0" applyAlignment="1" pivotButton="0" quotePrefix="0" xfId="0">
      <alignment vertical="center"/>
    </xf>
    <xf numFmtId="0" fontId="12" fillId="0" borderId="0" pivotButton="0" quotePrefix="0" xfId="0"/>
    <xf numFmtId="0" fontId="6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justify" vertical="center" wrapText="1"/>
    </xf>
    <xf numFmtId="0" fontId="12" fillId="0" borderId="0" applyAlignment="1" pivotButton="0" quotePrefix="0" xfId="0">
      <alignment wrapText="1"/>
    </xf>
    <xf numFmtId="49" fontId="6" fillId="0" borderId="1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6" fillId="0" borderId="5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4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1" fillId="0" borderId="0" pivotButton="0" quotePrefix="0" xfId="0"/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pivotButton="0" quotePrefix="0" xfId="0"/>
    <xf numFmtId="0" fontId="4" fillId="0" borderId="0" pivotButton="0" quotePrefix="0" xfId="0"/>
    <xf numFmtId="0" fontId="0" fillId="0" borderId="0" pivotButton="0" quotePrefix="0" xfId="0"/>
    <xf numFmtId="49" fontId="6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13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  <xf numFmtId="16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vertical="center"/>
    </xf>
    <xf numFmtId="1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right" vertical="center"/>
    </xf>
    <xf numFmtId="0" fontId="9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9" fillId="0" borderId="1" applyAlignment="1" pivotButton="0" quotePrefix="0" xfId="0">
      <alignment horizontal="right" vertical="center" wrapText="1"/>
    </xf>
    <xf numFmtId="0" fontId="9" fillId="0" borderId="5" applyAlignment="1" pivotButton="0" quotePrefix="0" xfId="0">
      <alignment horizontal="right" vertical="center" wrapText="1"/>
    </xf>
    <xf numFmtId="0" fontId="9" fillId="0" borderId="6" applyAlignment="1" pivotButton="0" quotePrefix="0" xfId="0">
      <alignment horizontal="right" vertical="center" wrapText="1"/>
    </xf>
    <xf numFmtId="0" fontId="9" fillId="0" borderId="7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/>
    </xf>
    <xf numFmtId="0" fontId="6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5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7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6" fillId="0" borderId="10" applyAlignment="1" pivotButton="0" quotePrefix="0" xfId="0">
      <alignment horizontal="center" vertical="center"/>
    </xf>
    <xf numFmtId="49" fontId="6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left" vertical="center" wrapText="1"/>
    </xf>
    <xf numFmtId="0" fontId="6" fillId="0" borderId="10" applyAlignment="1" pivotButton="0" quotePrefix="0" xfId="0">
      <alignment horizontal="center" vertical="center" wrapText="1"/>
    </xf>
    <xf numFmtId="4" fontId="0" fillId="0" borderId="10" applyAlignment="1" pivotButton="0" quotePrefix="0" xfId="0">
      <alignment horizontal="center" vertical="center"/>
    </xf>
    <xf numFmtId="4" fontId="6" fillId="0" borderId="10" applyAlignment="1" pivotButton="0" quotePrefix="0" xfId="0">
      <alignment horizontal="center" vertical="center"/>
    </xf>
    <xf numFmtId="169" fontId="6" fillId="0" borderId="10" applyAlignment="1" pivotButton="0" quotePrefix="0" xfId="0">
      <alignment horizontal="center" vertical="center"/>
    </xf>
    <xf numFmtId="168" fontId="6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vertical="center" wrapText="1"/>
    </xf>
    <xf numFmtId="166" fontId="6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wrapText="1"/>
    </xf>
    <xf numFmtId="0" fontId="9" fillId="0" borderId="10" applyAlignment="1" pivotButton="0" quotePrefix="0" xfId="0">
      <alignment vertical="center" wrapText="1"/>
    </xf>
    <xf numFmtId="4" fontId="9" fillId="0" borderId="10" applyAlignment="1" pivotButton="0" quotePrefix="0" xfId="0">
      <alignment horizontal="center" vertical="center"/>
    </xf>
    <xf numFmtId="167" fontId="6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1" pivotButton="0" quotePrefix="0" xfId="0"/>
    <xf numFmtId="0" fontId="0" fillId="0" borderId="2" pivotButton="0" quotePrefix="0" xfId="0"/>
    <xf numFmtId="168" fontId="6" fillId="0" borderId="1" applyAlignment="1" pivotButton="0" quotePrefix="0" xfId="0">
      <alignment horizontal="right" vertical="center"/>
    </xf>
    <xf numFmtId="168" fontId="6" fillId="0" borderId="1" applyAlignment="1" pivotButton="0" quotePrefix="0" xfId="0">
      <alignment horizontal="right" vertical="center" wrapText="1"/>
    </xf>
    <xf numFmtId="168" fontId="9" fillId="0" borderId="1" applyAlignment="1" pivotButton="0" quotePrefix="0" xfId="0">
      <alignment vertical="center" wrapText="1"/>
    </xf>
    <xf numFmtId="43" fontId="0" fillId="0" borderId="0" pivotButton="0" quotePrefix="0" xfId="0"/>
    <xf numFmtId="166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43" fontId="1" fillId="0" borderId="0" pivotButton="0" quotePrefix="0" xfId="0"/>
    <xf numFmtId="0" fontId="0" fillId="0" borderId="12" pivotButton="0" quotePrefix="0" xfId="0"/>
    <xf numFmtId="0" fontId="0" fillId="0" borderId="13" pivotButton="0" quotePrefix="0" xfId="0"/>
    <xf numFmtId="166" fontId="10" fillId="0" borderId="0" pivotButton="0" quotePrefix="0" xfId="0"/>
    <xf numFmtId="0" fontId="3" fillId="0" borderId="11" applyAlignment="1" pivotButton="0" quotePrefix="0" xfId="0">
      <alignment horizontal="left" vertical="center" wrapText="1"/>
    </xf>
    <xf numFmtId="0" fontId="0" fillId="0" borderId="9" pivotButton="0" quotePrefix="0" xfId="0"/>
    <xf numFmtId="169" fontId="6" fillId="0" borderId="10" applyAlignment="1" pivotButton="0" quotePrefix="0" xfId="0">
      <alignment horizontal="center" vertical="center"/>
    </xf>
    <xf numFmtId="168" fontId="6" fillId="0" borderId="10" applyAlignment="1" pivotButton="0" quotePrefix="0" xfId="0">
      <alignment horizontal="center" vertical="center"/>
    </xf>
    <xf numFmtId="166" fontId="6" fillId="0" borderId="1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1:J35"/>
  <sheetViews>
    <sheetView view="pageBreakPreview" zoomScale="60" zoomScaleNormal="85" workbookViewId="0">
      <selection activeCell="C27" sqref="C27"/>
    </sheetView>
  </sheetViews>
  <sheetFormatPr baseColWidth="8" defaultRowHeight="15.75"/>
  <cols>
    <col width="9.140625" customWidth="1" style="144" min="1" max="2"/>
    <col width="36.85546875" customWidth="1" style="144" min="3" max="3"/>
    <col width="36.5703125" customWidth="1" style="144" min="4" max="5"/>
    <col width="14.28515625" customWidth="1" style="142" min="6" max="6"/>
    <col width="12.140625" customWidth="1" style="142" min="7" max="7"/>
    <col width="12.28515625" customWidth="1" style="142" min="8" max="8"/>
    <col width="15" customWidth="1" style="142" min="9" max="9"/>
  </cols>
  <sheetData>
    <row r="1">
      <c r="F1" s="144" t="n"/>
      <c r="G1" s="144" t="n"/>
      <c r="H1" s="144" t="n"/>
      <c r="I1" s="144" t="n"/>
      <c r="J1" s="144" t="n"/>
    </row>
    <row r="2">
      <c r="F2" s="144" t="n"/>
      <c r="G2" s="144" t="n"/>
      <c r="H2" s="144" t="n"/>
      <c r="I2" s="144" t="n"/>
      <c r="J2" s="144" t="n"/>
    </row>
    <row r="3">
      <c r="B3" s="155" t="inlineStr">
        <is>
          <t>Приложение № 1</t>
        </is>
      </c>
      <c r="F3" s="144" t="n"/>
      <c r="G3" s="144" t="n"/>
      <c r="H3" s="144" t="n"/>
      <c r="I3" s="144" t="n"/>
      <c r="J3" s="144" t="n"/>
    </row>
    <row r="4">
      <c r="B4" s="156" t="inlineStr">
        <is>
          <t>Сравнительная таблица отбора объекта-представителя</t>
        </is>
      </c>
      <c r="F4" s="144" t="n"/>
      <c r="G4" s="144" t="n"/>
      <c r="H4" s="144" t="n"/>
      <c r="I4" s="144" t="n"/>
      <c r="J4" s="144" t="n"/>
    </row>
    <row r="5">
      <c r="B5" s="107" t="n"/>
      <c r="C5" s="107" t="n"/>
      <c r="D5" s="107" t="n"/>
      <c r="E5" s="107" t="n"/>
      <c r="F5" s="144" t="n"/>
      <c r="G5" s="144" t="n"/>
      <c r="H5" s="144" t="n"/>
      <c r="I5" s="144" t="n"/>
      <c r="J5" s="144" t="n"/>
    </row>
    <row r="6">
      <c r="B6" s="107" t="n"/>
      <c r="C6" s="107" t="n"/>
      <c r="D6" s="107" t="n"/>
      <c r="E6" s="107" t="n"/>
      <c r="F6" s="144" t="n"/>
      <c r="G6" s="144" t="n"/>
      <c r="H6" s="144" t="n"/>
      <c r="I6" s="144" t="n"/>
      <c r="J6" s="144" t="n"/>
    </row>
    <row r="7" ht="31.5" customHeight="1" s="142">
      <c r="B7" s="154" t="inlineStr">
        <is>
          <t>Установка ИКЗ (на ВЛ 6-35 кВ)</t>
        </is>
      </c>
      <c r="F7" s="116" t="n"/>
      <c r="G7" s="144" t="n"/>
      <c r="H7" s="144" t="n"/>
      <c r="I7" s="144" t="n"/>
      <c r="J7" s="144" t="n"/>
    </row>
    <row r="8" ht="15.75" customHeight="1" s="142">
      <c r="B8" s="117" t="inlineStr">
        <is>
          <t xml:space="preserve">Сопоставимый уровень цен: </t>
        </is>
      </c>
      <c r="C8" s="117" t="n"/>
      <c r="D8" s="117">
        <f>D22</f>
        <v/>
      </c>
      <c r="E8" s="117" t="n"/>
      <c r="F8" s="144" t="n"/>
      <c r="G8" s="144" t="n"/>
      <c r="H8" s="144" t="n"/>
      <c r="I8" s="144" t="n"/>
      <c r="J8" s="144" t="n"/>
    </row>
    <row r="9" ht="15.75" customHeight="1" s="142">
      <c r="B9" s="154" t="inlineStr">
        <is>
          <t>Единица измерения  — 1 ед</t>
        </is>
      </c>
      <c r="F9" s="116" t="n"/>
      <c r="G9" s="144" t="n"/>
      <c r="H9" s="144" t="n"/>
      <c r="I9" s="144" t="n"/>
      <c r="J9" s="144" t="n"/>
    </row>
    <row r="10">
      <c r="B10" s="154" t="n"/>
      <c r="F10" s="144" t="n"/>
      <c r="G10" s="144" t="n"/>
      <c r="H10" s="144" t="n"/>
      <c r="I10" s="144" t="n"/>
      <c r="J10" s="144" t="n"/>
    </row>
    <row r="11">
      <c r="B11" s="162" t="inlineStr">
        <is>
          <t>№ п/п</t>
        </is>
      </c>
      <c r="C11" s="162" t="inlineStr">
        <is>
          <t>Параметр</t>
        </is>
      </c>
      <c r="D11" s="162" t="inlineStr">
        <is>
          <t>Объект-представитель 1</t>
        </is>
      </c>
      <c r="E11" s="162" t="inlineStr">
        <is>
          <t>Объект-представитель 2</t>
        </is>
      </c>
      <c r="F11" s="116" t="n"/>
      <c r="G11" s="144" t="n"/>
      <c r="H11" s="144" t="n"/>
      <c r="I11" s="144" t="n"/>
      <c r="J11" s="144" t="n"/>
    </row>
    <row r="12" ht="71.25" customHeight="1" s="142">
      <c r="B12" s="162" t="n">
        <v>1</v>
      </c>
      <c r="C12" s="165" t="inlineStr">
        <is>
          <t>Наименование объекта-представителя</t>
        </is>
      </c>
      <c r="D12" s="162" t="inlineStr">
        <is>
          <t>Электроснабжения энергопринимающих устройств площадки для хранения свеклы (ООО "Тербуны-Агро")</t>
        </is>
      </c>
      <c r="E12" s="162" t="inlineStr">
        <is>
          <t>ЛЭП-10 кВ, ТП-10/0,4 кВ-630 кВА для электроснабжения площадки для хранения свеклы (ООО "Елецкий")</t>
        </is>
      </c>
      <c r="F12" s="144" t="n"/>
      <c r="G12" s="144" t="n"/>
      <c r="H12" s="144" t="n"/>
      <c r="I12" s="144" t="n"/>
      <c r="J12" s="144" t="n"/>
    </row>
    <row r="13" ht="31.5" customHeight="1" s="142">
      <c r="B13" s="162" t="n">
        <v>2</v>
      </c>
      <c r="C13" s="165" t="inlineStr">
        <is>
          <t>Наименование субъекта Российской Федерации</t>
        </is>
      </c>
      <c r="D13" s="162" t="inlineStr">
        <is>
          <t>Липецкая область</t>
        </is>
      </c>
      <c r="E13" s="162" t="inlineStr">
        <is>
          <t>Липецкая область</t>
        </is>
      </c>
      <c r="F13" s="144" t="n"/>
      <c r="G13" s="144" t="n"/>
      <c r="H13" s="144" t="n"/>
      <c r="I13" s="144" t="n"/>
      <c r="J13" s="144" t="n"/>
    </row>
    <row r="14">
      <c r="B14" s="162" t="n">
        <v>3</v>
      </c>
      <c r="C14" s="165" t="inlineStr">
        <is>
          <t>Климатический район и подрайон</t>
        </is>
      </c>
      <c r="D14" s="162" t="inlineStr">
        <is>
          <t>IIВ</t>
        </is>
      </c>
      <c r="E14" s="162" t="inlineStr">
        <is>
          <t>IIВ</t>
        </is>
      </c>
      <c r="F14" s="144" t="n"/>
      <c r="G14" s="144" t="n"/>
      <c r="H14" s="144" t="n"/>
      <c r="I14" s="144" t="n"/>
      <c r="J14" s="144" t="n"/>
    </row>
    <row r="15">
      <c r="B15" s="162" t="n">
        <v>4</v>
      </c>
      <c r="C15" s="165" t="inlineStr">
        <is>
          <t>Мощность объекта</t>
        </is>
      </c>
      <c r="D15" s="162" t="n">
        <v>1</v>
      </c>
      <c r="E15" s="162" t="n">
        <v>1</v>
      </c>
      <c r="F15" s="144" t="n"/>
      <c r="G15" s="144" t="n"/>
      <c r="H15" s="144" t="n"/>
      <c r="I15" s="144" t="n"/>
      <c r="J15" s="144" t="n"/>
    </row>
    <row r="16" ht="100.5" customHeight="1" s="142">
      <c r="B16" s="162" t="n">
        <v>5</v>
      </c>
      <c r="C16" s="118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62" t="inlineStr">
        <is>
          <t>Индикатор ИКЗ-33МР3</t>
        </is>
      </c>
      <c r="E16" s="162" t="inlineStr">
        <is>
          <t>Индикатор ИКЗ-В23Р</t>
        </is>
      </c>
      <c r="F16" s="144" t="n"/>
      <c r="G16" s="144" t="n"/>
      <c r="H16" s="144" t="n"/>
      <c r="I16" s="144" t="n"/>
      <c r="J16" s="144" t="n"/>
    </row>
    <row r="17" ht="82.5" customHeight="1" s="142">
      <c r="B17" s="162" t="n">
        <v>6</v>
      </c>
      <c r="C17" s="118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06">
        <f>SUM(D18:D21)</f>
        <v/>
      </c>
      <c r="E17" s="106">
        <f>SUM(E18:E21)</f>
        <v/>
      </c>
      <c r="F17" s="119" t="n"/>
      <c r="G17" s="144" t="n"/>
      <c r="H17" s="144" t="n"/>
      <c r="I17" s="144" t="n"/>
      <c r="J17" s="144" t="n"/>
    </row>
    <row r="18">
      <c r="B18" s="120" t="inlineStr">
        <is>
          <t>6.1</t>
        </is>
      </c>
      <c r="C18" s="165" t="inlineStr">
        <is>
          <t>строительно-монтажные работы</t>
        </is>
      </c>
      <c r="D18" s="106">
        <f>'Прил.2 Расч стоим'!F13+'Прил.2 Расч стоим'!G13</f>
        <v/>
      </c>
      <c r="E18" s="106">
        <f>'Прил.2 Расч стоим'!F20+'Прил.2 Расч стоим'!G20</f>
        <v/>
      </c>
      <c r="F18" s="144" t="n"/>
      <c r="G18" s="144" t="n"/>
      <c r="H18" s="144" t="n"/>
      <c r="I18" s="144" t="n"/>
      <c r="J18" s="144" t="n"/>
    </row>
    <row r="19">
      <c r="B19" s="120" t="inlineStr">
        <is>
          <t>6.2</t>
        </is>
      </c>
      <c r="C19" s="165" t="inlineStr">
        <is>
          <t>оборудование и инвентарь</t>
        </is>
      </c>
      <c r="D19" s="106">
        <f>'Прил.2 Расч стоим'!H13</f>
        <v/>
      </c>
      <c r="E19" s="106">
        <f>'Прил.2 Расч стоим'!H19</f>
        <v/>
      </c>
      <c r="F19" s="144" t="n"/>
      <c r="G19" s="144" t="n"/>
      <c r="H19" s="144" t="n"/>
      <c r="I19" s="144" t="n"/>
      <c r="J19" s="144" t="n"/>
    </row>
    <row r="20">
      <c r="B20" s="120" t="inlineStr">
        <is>
          <t>6.3</t>
        </is>
      </c>
      <c r="C20" s="165" t="inlineStr">
        <is>
          <t>пусконаладочные работы</t>
        </is>
      </c>
      <c r="D20" s="106">
        <f>40.298*(D18+D19)/5563.807</f>
        <v/>
      </c>
      <c r="E20" s="206">
        <f>33.297*(E18+E19)/1089.778</f>
        <v/>
      </c>
      <c r="F20" s="144" t="n"/>
      <c r="G20" s="144" t="n"/>
      <c r="H20" s="144" t="n"/>
      <c r="I20" s="144" t="n"/>
      <c r="J20" s="144" t="n"/>
    </row>
    <row r="21">
      <c r="B21" s="120" t="inlineStr">
        <is>
          <t>6.4</t>
        </is>
      </c>
      <c r="C21" s="121" t="inlineStr">
        <is>
          <t>прочие и лимитированные затраты</t>
        </is>
      </c>
      <c r="D21" s="206">
        <f>D18*2.5%+(D18+D18*2.5%)*1.9%</f>
        <v/>
      </c>
      <c r="E21" s="206">
        <f>E18*2.5%+(E18+E18*2.5%)*1.9%</f>
        <v/>
      </c>
      <c r="F21" s="144" t="n"/>
      <c r="G21" s="144" t="n"/>
      <c r="H21" s="144" t="n"/>
      <c r="I21" s="144" t="n"/>
      <c r="J21" s="144" t="n"/>
    </row>
    <row r="22">
      <c r="B22" s="162" t="n">
        <v>7</v>
      </c>
      <c r="C22" s="121" t="inlineStr">
        <is>
          <t>Сопоставимый уровень цен</t>
        </is>
      </c>
      <c r="D22" s="162" t="inlineStr">
        <is>
          <t>3 кв. 2018 г</t>
        </is>
      </c>
      <c r="E22" s="162">
        <f>D22</f>
        <v/>
      </c>
      <c r="F22" s="119" t="n"/>
      <c r="G22" s="144" t="n"/>
      <c r="H22" s="144" t="n"/>
      <c r="I22" s="144" t="n"/>
      <c r="J22" s="144" t="n"/>
    </row>
    <row r="23" ht="119.25" customHeight="1" s="142">
      <c r="B23" s="162" t="n">
        <v>8</v>
      </c>
      <c r="C23" s="122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04">
        <f>'Прил.2 Расч стоим'!J14+D20/10.83*11.14+D21/4.09*4.2</f>
        <v/>
      </c>
      <c r="E23" s="106">
        <f>E17</f>
        <v/>
      </c>
      <c r="F23" s="144" t="n"/>
      <c r="G23" s="144" t="n"/>
      <c r="H23" s="144" t="n"/>
      <c r="I23" s="144" t="n"/>
      <c r="J23" s="144" t="n"/>
    </row>
    <row r="24" ht="47.25" customHeight="1" s="142">
      <c r="B24" s="162" t="n">
        <v>9</v>
      </c>
      <c r="C24" s="118" t="inlineStr">
        <is>
          <t>Приведенная сметная стоимость на единицу мощности, тыс. руб. (строка 8/строку 4)</t>
        </is>
      </c>
      <c r="D24" s="104">
        <f>D23/D15</f>
        <v/>
      </c>
      <c r="E24" s="104">
        <f>E23/E15</f>
        <v/>
      </c>
      <c r="F24" s="119" t="n"/>
      <c r="G24" s="144" t="n"/>
      <c r="H24" s="144" t="n"/>
      <c r="I24" s="144" t="n"/>
      <c r="J24" s="144" t="n"/>
    </row>
    <row r="25" ht="47.25" customHeight="1" s="142">
      <c r="B25" s="162" t="n">
        <v>10</v>
      </c>
      <c r="C25" s="165" t="inlineStr">
        <is>
          <t>Примечание</t>
        </is>
      </c>
      <c r="D25" s="165" t="n"/>
      <c r="E25" s="165" t="inlineStr">
        <is>
          <t xml:space="preserve">Выбран объектом-представителем с учетом минимальной удельной стоимости </t>
        </is>
      </c>
      <c r="F25" s="144" t="n"/>
      <c r="G25" s="144" t="n"/>
      <c r="H25" s="144" t="n"/>
      <c r="I25" s="144" t="n"/>
      <c r="J25" s="144" t="n"/>
    </row>
    <row r="26">
      <c r="B26" s="191" t="n"/>
      <c r="C26" s="124" t="n"/>
      <c r="D26" s="124" t="n"/>
      <c r="E26" s="124" t="n"/>
      <c r="F26" s="144" t="n"/>
      <c r="G26" s="144" t="n"/>
      <c r="H26" s="144" t="n"/>
      <c r="I26" s="144" t="n"/>
      <c r="J26" s="144" t="n"/>
    </row>
    <row r="27">
      <c r="B27" s="117" t="n"/>
      <c r="F27" s="144" t="n"/>
      <c r="G27" s="144" t="n"/>
      <c r="H27" s="144" t="n"/>
      <c r="I27" s="144" t="n"/>
      <c r="J27" s="144" t="n"/>
    </row>
    <row r="28">
      <c r="B28" s="144" t="inlineStr">
        <is>
          <t>Составил ______________________        Е.А. Князева</t>
        </is>
      </c>
      <c r="F28" s="144" t="n"/>
      <c r="G28" s="144" t="n"/>
      <c r="H28" s="144" t="n"/>
      <c r="I28" s="144" t="n"/>
      <c r="J28" s="144" t="n"/>
    </row>
    <row r="29" ht="22.5" customHeight="1" s="142">
      <c r="B29" s="115" t="inlineStr">
        <is>
          <t xml:space="preserve">                         (подпись, инициалы, фамилия)</t>
        </is>
      </c>
      <c r="F29" s="144" t="n"/>
      <c r="G29" s="144" t="n"/>
      <c r="H29" s="144" t="n"/>
      <c r="I29" s="144" t="n"/>
      <c r="J29" s="144" t="n"/>
    </row>
    <row r="30">
      <c r="F30" s="144" t="n"/>
      <c r="G30" s="144" t="n"/>
      <c r="H30" s="144" t="n"/>
      <c r="I30" s="144" t="n"/>
      <c r="J30" s="144" t="n"/>
    </row>
    <row r="31">
      <c r="B31" s="144" t="inlineStr">
        <is>
          <t>Проверил ______________________        А.В. Костянецкая</t>
        </is>
      </c>
      <c r="F31" s="144" t="n"/>
      <c r="G31" s="144" t="n"/>
      <c r="H31" s="144" t="n"/>
      <c r="I31" s="144" t="n"/>
      <c r="J31" s="144" t="n"/>
    </row>
    <row r="32" ht="22.5" customHeight="1" s="142">
      <c r="B32" s="115" t="inlineStr">
        <is>
          <t xml:space="preserve">                        (подпись, инициалы, фамилия)</t>
        </is>
      </c>
      <c r="F32" s="144" t="n"/>
      <c r="G32" s="144" t="n"/>
      <c r="H32" s="144" t="n"/>
      <c r="I32" s="144" t="n"/>
      <c r="J32" s="144" t="n"/>
    </row>
    <row r="33">
      <c r="F33" s="144" t="n"/>
      <c r="G33" s="144" t="n"/>
      <c r="H33" s="144" t="n"/>
      <c r="I33" s="144" t="n"/>
      <c r="J33" s="144" t="n"/>
    </row>
    <row r="34">
      <c r="F34" s="144" t="n"/>
      <c r="G34" s="144" t="n"/>
      <c r="H34" s="144" t="n"/>
      <c r="I34" s="144" t="n"/>
      <c r="J34" s="144" t="n"/>
    </row>
    <row r="35">
      <c r="F35" s="144" t="n"/>
      <c r="G35" s="144" t="n"/>
      <c r="H35" s="144" t="n"/>
      <c r="I35" s="144" t="n"/>
      <c r="J35" s="144" t="n"/>
    </row>
  </sheetData>
  <mergeCells count="4">
    <mergeCell ref="B7:E7"/>
    <mergeCell ref="B9:E9"/>
    <mergeCell ref="B3:E3"/>
    <mergeCell ref="B4:E4"/>
  </mergeCells>
  <pageMargins left="0.7" right="0.7" top="0.75" bottom="0.75" header="0.3" footer="0.3"/>
  <pageSetup orientation="portrait" paperSize="9" scale="68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view="pageBreakPreview" zoomScaleNormal="100" zoomScaleSheetLayoutView="100" workbookViewId="0">
      <selection activeCell="C26" sqref="C26"/>
    </sheetView>
  </sheetViews>
  <sheetFormatPr baseColWidth="8" defaultRowHeight="15"/>
  <cols>
    <col width="5.5703125" customWidth="1" style="142" min="1" max="1"/>
    <col width="35.28515625" customWidth="1" style="142" min="3" max="3"/>
    <col width="13.85546875" customWidth="1" style="142" min="4" max="4"/>
    <col width="24.85546875" customWidth="1" style="142" min="5" max="5"/>
    <col width="12.7109375" customWidth="1" style="142" min="6" max="6"/>
    <col width="14.85546875" customWidth="1" style="142" min="7" max="7"/>
    <col width="16.7109375" customWidth="1" style="142" min="8" max="8"/>
    <col width="13" customWidth="1" style="142" min="9" max="10"/>
  </cols>
  <sheetData>
    <row r="1" ht="15.75" customHeight="1" s="142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</row>
    <row r="2" ht="15.75" customHeight="1" s="142">
      <c r="A2" s="144" t="n"/>
      <c r="B2" s="144" t="n"/>
      <c r="C2" s="144" t="n"/>
      <c r="D2" s="144" t="n"/>
      <c r="E2" s="144" t="n"/>
      <c r="F2" s="144" t="n"/>
      <c r="G2" s="144" t="n"/>
      <c r="H2" s="144" t="n"/>
      <c r="I2" s="144" t="n"/>
      <c r="J2" s="144" t="n"/>
    </row>
    <row r="3" ht="15.75" customHeight="1" s="142">
      <c r="A3" s="144" t="n"/>
      <c r="B3" s="155" t="inlineStr">
        <is>
          <t>Приложение № 2</t>
        </is>
      </c>
    </row>
    <row r="4" ht="15.75" customHeight="1" s="142">
      <c r="A4" s="144" t="n"/>
      <c r="B4" s="156" t="inlineStr">
        <is>
          <t>Расчет стоимости основных видов работ для выбора объекта-представителя</t>
        </is>
      </c>
    </row>
    <row r="5" ht="15.75" customHeight="1" s="142">
      <c r="A5" s="144" t="n"/>
      <c r="B5" s="107" t="n"/>
      <c r="C5" s="107" t="n"/>
      <c r="D5" s="107" t="n"/>
      <c r="E5" s="107" t="n"/>
      <c r="F5" s="107" t="n"/>
      <c r="G5" s="107" t="n"/>
      <c r="H5" s="107" t="n"/>
      <c r="I5" s="107" t="n"/>
      <c r="J5" s="107" t="n"/>
    </row>
    <row r="6" ht="15.75" customHeight="1" s="142">
      <c r="A6" s="144" t="n"/>
      <c r="B6" s="157">
        <f>'Прил.1 Сравнит табл'!B7</f>
        <v/>
      </c>
    </row>
    <row r="7" ht="15.75" customHeight="1" s="142">
      <c r="A7" s="144" t="n"/>
      <c r="B7" s="154">
        <f>'Прил.1 Сравнит табл'!B9</f>
        <v/>
      </c>
    </row>
    <row r="8" ht="15.75" customHeight="1" s="142">
      <c r="A8" s="144" t="n"/>
      <c r="B8" s="154" t="n"/>
      <c r="C8" s="144" t="n"/>
      <c r="D8" s="144" t="n"/>
      <c r="E8" s="144" t="n"/>
      <c r="F8" s="144" t="n"/>
      <c r="G8" s="144" t="n"/>
      <c r="H8" s="144" t="n"/>
      <c r="I8" s="144" t="n"/>
      <c r="J8" s="144" t="n"/>
    </row>
    <row r="9" ht="15.75" customHeight="1" s="142">
      <c r="A9" s="144" t="n"/>
      <c r="B9" s="162" t="inlineStr">
        <is>
          <t>№ п/п</t>
        </is>
      </c>
      <c r="C9" s="16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62" t="inlineStr">
        <is>
          <t>Объект-представитель 1</t>
        </is>
      </c>
      <c r="E9" s="207" t="n"/>
      <c r="F9" s="207" t="n"/>
      <c r="G9" s="207" t="n"/>
      <c r="H9" s="207" t="n"/>
      <c r="I9" s="207" t="n"/>
      <c r="J9" s="208" t="n"/>
    </row>
    <row r="10" ht="15.75" customHeight="1" s="142">
      <c r="A10" s="144" t="n"/>
      <c r="B10" s="209" t="n"/>
      <c r="C10" s="209" t="n"/>
      <c r="D10" s="162" t="inlineStr">
        <is>
          <t>Номер сметы</t>
        </is>
      </c>
      <c r="E10" s="162" t="inlineStr">
        <is>
          <t>Наименование сметы</t>
        </is>
      </c>
      <c r="F10" s="162" t="inlineStr">
        <is>
          <t>Сметная стоимость в уровне цен 1 кв. 2018г, тыс. руб.</t>
        </is>
      </c>
      <c r="G10" s="207" t="n"/>
      <c r="H10" s="207" t="n"/>
      <c r="I10" s="207" t="n"/>
      <c r="J10" s="208" t="n"/>
    </row>
    <row r="11" ht="63.75" customHeight="1" s="142">
      <c r="A11" s="144" t="n"/>
      <c r="B11" s="210" t="n"/>
      <c r="C11" s="210" t="n"/>
      <c r="D11" s="210" t="n"/>
      <c r="E11" s="210" t="n"/>
      <c r="F11" s="162" t="inlineStr">
        <is>
          <t>Строительные работы</t>
        </is>
      </c>
      <c r="G11" s="162" t="inlineStr">
        <is>
          <t>Монтажные работы</t>
        </is>
      </c>
      <c r="H11" s="162" t="inlineStr">
        <is>
          <t>Оборудование</t>
        </is>
      </c>
      <c r="I11" s="162" t="inlineStr">
        <is>
          <t>Прочее</t>
        </is>
      </c>
      <c r="J11" s="162" t="inlineStr">
        <is>
          <t>Всего</t>
        </is>
      </c>
    </row>
    <row r="12" ht="15.75" customHeight="1" s="142">
      <c r="A12" s="144" t="n"/>
      <c r="B12" s="165" t="n">
        <v>1</v>
      </c>
      <c r="C12" s="165" t="inlineStr">
        <is>
          <t>Установка ИКЗ</t>
        </is>
      </c>
      <c r="D12" s="109" t="inlineStr">
        <is>
          <t>2-1</t>
        </is>
      </c>
      <c r="E12" s="165" t="inlineStr">
        <is>
          <t>ВЛ-10кВ</t>
        </is>
      </c>
      <c r="F12" s="211">
        <f>4.09*0.21868</f>
        <v/>
      </c>
      <c r="G12" s="211" t="n"/>
      <c r="H12" s="211">
        <f>(16.704*1.012+16.704*0.06)*4.43</f>
        <v/>
      </c>
      <c r="I12" s="211" t="n"/>
      <c r="J12" s="212">
        <f>SUM(F12:I12)</f>
        <v/>
      </c>
    </row>
    <row r="13" ht="15" customHeight="1" s="142">
      <c r="A13" s="144" t="n"/>
      <c r="B13" s="158" t="inlineStr">
        <is>
          <t>Всего по объекту:</t>
        </is>
      </c>
      <c r="C13" s="207" t="n"/>
      <c r="D13" s="207" t="n"/>
      <c r="E13" s="208" t="n"/>
      <c r="F13" s="213">
        <f>SUM(F12)</f>
        <v/>
      </c>
      <c r="G13" s="213">
        <f>SUM(G12)</f>
        <v/>
      </c>
      <c r="H13" s="213">
        <f>SUM(H12)</f>
        <v/>
      </c>
      <c r="I13" s="213">
        <f>SUM(I12)</f>
        <v/>
      </c>
      <c r="J13" s="213">
        <f>SUM(F13:I13)</f>
        <v/>
      </c>
    </row>
    <row r="14" ht="15.75" customHeight="1" s="142">
      <c r="A14" s="144" t="n"/>
      <c r="B14" s="158" t="inlineStr">
        <is>
          <t>Всего по объекту в сопоставимом уровне цен 3 кв. 2018г:</t>
        </is>
      </c>
      <c r="C14" s="207" t="n"/>
      <c r="D14" s="207" t="n"/>
      <c r="E14" s="208" t="n"/>
      <c r="F14" s="213">
        <f>F13/4.09*4.2</f>
        <v/>
      </c>
      <c r="G14" s="213">
        <f>G13</f>
        <v/>
      </c>
      <c r="H14" s="213">
        <f>H13/4.43*4.53</f>
        <v/>
      </c>
      <c r="I14" s="213">
        <f>I13</f>
        <v/>
      </c>
      <c r="J14" s="213">
        <f>SUM(F14:I14)</f>
        <v/>
      </c>
    </row>
    <row r="15" ht="15.75" customHeight="1" s="142">
      <c r="A15" s="144" t="n"/>
      <c r="B15" s="154" t="n"/>
      <c r="C15" s="144" t="n"/>
      <c r="D15" s="144" t="n"/>
      <c r="E15" s="144" t="n"/>
      <c r="F15" s="144" t="n"/>
      <c r="G15" s="144" t="n"/>
      <c r="H15" s="144" t="n"/>
      <c r="I15" s="144" t="n"/>
      <c r="J15" s="144" t="n"/>
    </row>
    <row r="16" ht="15.75" customHeight="1" s="142">
      <c r="A16" s="144" t="n"/>
      <c r="B16" s="162" t="inlineStr">
        <is>
          <t>№ п/п</t>
        </is>
      </c>
      <c r="C16" s="162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16" s="162" t="inlineStr">
        <is>
          <t>Объект-представитель 2</t>
        </is>
      </c>
      <c r="E16" s="207" t="n"/>
      <c r="F16" s="207" t="n"/>
      <c r="G16" s="207" t="n"/>
      <c r="H16" s="207" t="n"/>
      <c r="I16" s="207" t="n"/>
      <c r="J16" s="208" t="n"/>
    </row>
    <row r="17" ht="15.75" customHeight="1" s="142">
      <c r="A17" s="144" t="n"/>
      <c r="B17" s="209" t="n"/>
      <c r="C17" s="209" t="n"/>
      <c r="D17" s="162" t="inlineStr">
        <is>
          <t>Номер сметы</t>
        </is>
      </c>
      <c r="E17" s="162" t="inlineStr">
        <is>
          <t>Наименование сметы</t>
        </is>
      </c>
      <c r="F17" s="162" t="inlineStr">
        <is>
          <t>Сметная стоимость в уровне цен 3 кв. 2018 г., тыс. руб.</t>
        </is>
      </c>
      <c r="G17" s="207" t="n"/>
      <c r="H17" s="207" t="n"/>
      <c r="I17" s="207" t="n"/>
      <c r="J17" s="208" t="n"/>
    </row>
    <row r="18" ht="64.5" customHeight="1" s="142">
      <c r="A18" s="144" t="n"/>
      <c r="B18" s="210" t="n"/>
      <c r="C18" s="210" t="n"/>
      <c r="D18" s="210" t="n"/>
      <c r="E18" s="210" t="n"/>
      <c r="F18" s="162" t="inlineStr">
        <is>
          <t>Строительные работы</t>
        </is>
      </c>
      <c r="G18" s="162" t="inlineStr">
        <is>
          <t>Монтажные работы</t>
        </is>
      </c>
      <c r="H18" s="162" t="inlineStr">
        <is>
          <t>Оборудование</t>
        </is>
      </c>
      <c r="I18" s="162" t="inlineStr">
        <is>
          <t>Прочее</t>
        </is>
      </c>
      <c r="J18" s="162" t="inlineStr">
        <is>
          <t>Всего</t>
        </is>
      </c>
    </row>
    <row r="19" ht="15.75" customHeight="1" s="142">
      <c r="A19" s="144" t="n"/>
      <c r="B19" s="165" t="n">
        <v>1</v>
      </c>
      <c r="C19" s="165" t="inlineStr">
        <is>
          <t>Установка ИКЗ</t>
        </is>
      </c>
      <c r="D19" s="109" t="inlineStr">
        <is>
          <t>2-2</t>
        </is>
      </c>
      <c r="E19" s="165" t="inlineStr">
        <is>
          <t>ВЛ-10кВ</t>
        </is>
      </c>
      <c r="F19" s="211" t="n"/>
      <c r="G19" s="211">
        <f>4.2*0.038</f>
        <v/>
      </c>
      <c r="H19" s="211">
        <f>(8.819*1.012+8.819*0.06)*4.53</f>
        <v/>
      </c>
      <c r="I19" s="211" t="n"/>
      <c r="J19" s="212">
        <f>SUM(F19:I19)</f>
        <v/>
      </c>
    </row>
    <row r="20" ht="15.75" customHeight="1" s="142">
      <c r="A20" s="144" t="n"/>
      <c r="B20" s="158" t="inlineStr">
        <is>
          <t>Всего по объекту:</t>
        </is>
      </c>
      <c r="C20" s="207" t="n"/>
      <c r="D20" s="207" t="n"/>
      <c r="E20" s="208" t="n"/>
      <c r="F20" s="213">
        <f>SUM(F19)</f>
        <v/>
      </c>
      <c r="G20" s="213">
        <f>SUM(G19)</f>
        <v/>
      </c>
      <c r="H20" s="213">
        <f>SUM(H19)</f>
        <v/>
      </c>
      <c r="I20" s="213">
        <f>SUM(I19)</f>
        <v/>
      </c>
      <c r="J20" s="213">
        <f>SUM(F20:I20)</f>
        <v/>
      </c>
    </row>
    <row r="21" ht="15.75" customHeight="1" s="142">
      <c r="A21" s="144" t="n"/>
      <c r="B21" s="158" t="inlineStr">
        <is>
          <t>Всего по объекту в сопоставимом уровне цен 3 кв. 2018г:</t>
        </is>
      </c>
      <c r="C21" s="207" t="n"/>
      <c r="D21" s="207" t="n"/>
      <c r="E21" s="208" t="n"/>
      <c r="F21" s="213">
        <f>F20</f>
        <v/>
      </c>
      <c r="G21" s="213">
        <f>G20</f>
        <v/>
      </c>
      <c r="H21" s="213">
        <f>H20</f>
        <v/>
      </c>
      <c r="I21" s="213">
        <f>I20</f>
        <v/>
      </c>
      <c r="J21" s="213">
        <f>SUM(F21:I21)</f>
        <v/>
      </c>
    </row>
    <row r="22" ht="15.75" customHeight="1" s="142">
      <c r="A22" s="144" t="n"/>
      <c r="B22" s="144" t="n"/>
      <c r="C22" s="144" t="n"/>
      <c r="D22" s="144" t="n"/>
      <c r="E22" s="144" t="n"/>
      <c r="F22" s="144" t="n"/>
      <c r="G22" s="144" t="n"/>
      <c r="H22" s="144" t="n"/>
      <c r="I22" s="144" t="n"/>
      <c r="J22" s="144" t="n"/>
    </row>
    <row r="23" ht="15.75" customHeight="1" s="142">
      <c r="A23" s="144" t="n"/>
      <c r="B23" s="144" t="n"/>
      <c r="C23" s="144" t="n"/>
      <c r="D23" s="144" t="n"/>
      <c r="E23" s="144" t="n"/>
      <c r="F23" s="144" t="n"/>
      <c r="G23" s="144" t="n"/>
      <c r="H23" s="144" t="n"/>
      <c r="I23" s="144" t="n"/>
      <c r="J23" s="144" t="n"/>
    </row>
    <row r="24" ht="15.75" customHeight="1" s="142">
      <c r="A24" s="144" t="n"/>
      <c r="B24" s="144" t="n"/>
      <c r="C24" s="144" t="n"/>
      <c r="D24" s="144" t="n"/>
      <c r="E24" s="144" t="n"/>
      <c r="F24" s="144" t="n"/>
      <c r="G24" s="144" t="n"/>
      <c r="H24" s="144" t="n"/>
      <c r="I24" s="144" t="n"/>
      <c r="J24" s="144" t="n"/>
    </row>
    <row r="25" ht="15.75" customHeight="1" s="142">
      <c r="A25" s="144" t="n"/>
      <c r="B25" s="144" t="inlineStr">
        <is>
          <t>Составил ______________________        Е.А. Князева</t>
        </is>
      </c>
      <c r="C25" s="144" t="n"/>
      <c r="D25" s="144" t="n"/>
      <c r="E25" s="144" t="n"/>
      <c r="F25" s="144" t="n"/>
      <c r="G25" s="144" t="n"/>
      <c r="H25" s="144" t="n"/>
      <c r="I25" s="144" t="n"/>
      <c r="J25" s="144" t="n"/>
    </row>
    <row r="26" ht="22.5" customHeight="1" s="142">
      <c r="A26" s="144" t="n"/>
      <c r="B26" s="115" t="inlineStr">
        <is>
          <t xml:space="preserve">                         (подпись, инициалы, фамилия)</t>
        </is>
      </c>
      <c r="C26" s="144" t="n"/>
      <c r="D26" s="144" t="n"/>
      <c r="E26" s="144" t="n"/>
      <c r="F26" s="144" t="n"/>
      <c r="G26" s="144" t="n"/>
      <c r="H26" s="144" t="n"/>
      <c r="I26" s="144" t="n"/>
      <c r="J26" s="144" t="n"/>
    </row>
    <row r="27" ht="15.75" customHeight="1" s="142">
      <c r="A27" s="144" t="n"/>
      <c r="B27" s="144" t="n"/>
      <c r="C27" s="144" t="n"/>
      <c r="D27" s="144" t="n"/>
      <c r="E27" s="144" t="n"/>
      <c r="F27" s="144" t="n"/>
      <c r="G27" s="144" t="n"/>
      <c r="H27" s="144" t="n"/>
      <c r="I27" s="144" t="n"/>
      <c r="J27" s="144" t="n"/>
    </row>
    <row r="28" ht="15.75" customHeight="1" s="142">
      <c r="A28" s="144" t="n"/>
      <c r="B28" s="144" t="inlineStr">
        <is>
          <t>Проверил ______________________        А.В. Костянецкая</t>
        </is>
      </c>
      <c r="C28" s="144" t="n"/>
      <c r="D28" s="144" t="n"/>
      <c r="E28" s="144" t="n"/>
      <c r="F28" s="144" t="n"/>
      <c r="G28" s="144" t="n"/>
      <c r="H28" s="144" t="n"/>
      <c r="I28" s="144" t="n"/>
      <c r="J28" s="144" t="n"/>
    </row>
    <row r="29" ht="22.5" customHeight="1" s="142">
      <c r="A29" s="144" t="n"/>
      <c r="B29" s="115" t="inlineStr">
        <is>
          <t xml:space="preserve">                        (подпись, инициалы, фамилия)</t>
        </is>
      </c>
      <c r="C29" s="144" t="n"/>
      <c r="D29" s="144" t="n"/>
      <c r="E29" s="144" t="n"/>
      <c r="F29" s="144" t="n"/>
      <c r="G29" s="144" t="n"/>
      <c r="H29" s="144" t="n"/>
      <c r="I29" s="144" t="n"/>
      <c r="J29" s="144" t="n"/>
    </row>
  </sheetData>
  <mergeCells count="20">
    <mergeCell ref="E17:E18"/>
    <mergeCell ref="D9:J9"/>
    <mergeCell ref="F10:J10"/>
    <mergeCell ref="D17:D18"/>
    <mergeCell ref="B20:E20"/>
    <mergeCell ref="E10:E11"/>
    <mergeCell ref="B16:B18"/>
    <mergeCell ref="B6:J6"/>
    <mergeCell ref="F17:J17"/>
    <mergeCell ref="B21:E21"/>
    <mergeCell ref="B4:J4"/>
    <mergeCell ref="B14:E14"/>
    <mergeCell ref="B7:J7"/>
    <mergeCell ref="B3:J3"/>
    <mergeCell ref="D10:D11"/>
    <mergeCell ref="B13:E13"/>
    <mergeCell ref="C16:C18"/>
    <mergeCell ref="D16:J16"/>
    <mergeCell ref="B9:B11"/>
    <mergeCell ref="C9:C11"/>
  </mergeCells>
  <pageMargins left="0.7" right="0.7" top="0.75" bottom="0.75" header="0.3" footer="0.3"/>
  <pageSetup orientation="portrait" paperSize="9" scale="5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0"/>
  <sheetViews>
    <sheetView view="pageBreakPreview" workbookViewId="0">
      <selection activeCell="C25" sqref="C25"/>
    </sheetView>
  </sheetViews>
  <sheetFormatPr baseColWidth="8" defaultRowHeight="15.75"/>
  <cols>
    <col width="9.140625" customWidth="1" style="144" min="1" max="1"/>
    <col width="12.5703125" customWidth="1" style="144" min="2" max="2"/>
    <col width="22.42578125" customWidth="1" style="144" min="3" max="3"/>
    <col width="49.7109375" customWidth="1" style="144" min="4" max="4"/>
    <col width="10.140625" customWidth="1" style="144" min="5" max="5"/>
    <col width="20.7109375" customWidth="1" style="144" min="6" max="6"/>
    <col width="16.140625" customWidth="1" style="144" min="7" max="7"/>
    <col width="16.7109375" customWidth="1" style="144" min="8" max="8"/>
    <col width="9.140625" customWidth="1" style="144" min="9" max="9"/>
    <col width="19.42578125" customWidth="1" style="144" min="10" max="10"/>
    <col width="13" customWidth="1" style="142" min="11" max="11"/>
    <col width="9.140625" customWidth="1" style="142" min="12" max="12"/>
  </cols>
  <sheetData>
    <row r="1">
      <c r="K1" s="144" t="n"/>
    </row>
    <row r="2">
      <c r="A2" s="155" t="inlineStr">
        <is>
          <t xml:space="preserve">Приложение № 3 </t>
        </is>
      </c>
      <c r="K2" s="144" t="n"/>
    </row>
    <row r="3">
      <c r="A3" s="156" t="inlineStr">
        <is>
          <t>Объектная ресурсная ведомость</t>
        </is>
      </c>
      <c r="K3" s="144" t="n"/>
    </row>
    <row r="4" ht="18.75" customHeight="1" s="142">
      <c r="A4" s="154" t="n"/>
      <c r="K4" s="144" t="n"/>
    </row>
    <row r="5">
      <c r="A5" s="157">
        <f>'Прил.1 Сравнит табл'!B7</f>
        <v/>
      </c>
      <c r="K5" s="144" t="n"/>
    </row>
    <row r="6" s="142">
      <c r="A6" s="157" t="n"/>
      <c r="B6" s="157" t="n"/>
      <c r="C6" s="157" t="n"/>
      <c r="D6" s="157" t="n"/>
      <c r="E6" s="157" t="n"/>
      <c r="F6" s="157" t="n"/>
      <c r="G6" s="157" t="n"/>
      <c r="H6" s="157" t="n"/>
      <c r="I6" s="144" t="n"/>
      <c r="J6" s="144" t="n"/>
      <c r="K6" s="144" t="n"/>
    </row>
    <row r="7" s="142">
      <c r="A7" s="157" t="n"/>
      <c r="B7" s="157" t="n"/>
      <c r="C7" s="157" t="n"/>
      <c r="D7" s="157" t="n"/>
      <c r="E7" s="157" t="n"/>
      <c r="F7" s="157" t="n"/>
      <c r="G7" s="157" t="n"/>
      <c r="H7" s="157" t="n"/>
      <c r="I7" s="144" t="n"/>
      <c r="J7" s="144" t="n"/>
      <c r="K7" s="144" t="n"/>
    </row>
    <row r="8">
      <c r="A8" s="157" t="n"/>
      <c r="B8" s="157" t="n"/>
      <c r="C8" s="157" t="n"/>
      <c r="D8" s="157" t="n"/>
      <c r="E8" s="157" t="n"/>
      <c r="F8" s="157" t="n"/>
      <c r="G8" s="157" t="n"/>
      <c r="H8" s="157" t="n"/>
      <c r="K8" s="144" t="n"/>
    </row>
    <row r="9" ht="15.75" customHeight="1" s="142">
      <c r="A9" s="162" t="inlineStr">
        <is>
          <t>п/п</t>
        </is>
      </c>
      <c r="B9" s="162" t="inlineStr">
        <is>
          <t>№ЛСР</t>
        </is>
      </c>
      <c r="C9" s="162" t="inlineStr">
        <is>
          <t>Код ресурса</t>
        </is>
      </c>
      <c r="D9" s="162" t="inlineStr">
        <is>
          <t>Наименование ресурса</t>
        </is>
      </c>
      <c r="E9" s="162" t="inlineStr">
        <is>
          <t>Ед. изм.</t>
        </is>
      </c>
      <c r="F9" s="162" t="inlineStr">
        <is>
          <t>Кол-во единиц по данным объекта-представителя</t>
        </is>
      </c>
      <c r="G9" s="162" t="inlineStr">
        <is>
          <t>Сметная стоимость в ценах на 01.01.2000 (руб.)</t>
        </is>
      </c>
      <c r="H9" s="208" t="n"/>
      <c r="K9" s="144" t="n"/>
    </row>
    <row r="10">
      <c r="A10" s="210" t="n"/>
      <c r="B10" s="210" t="n"/>
      <c r="C10" s="210" t="n"/>
      <c r="D10" s="210" t="n"/>
      <c r="E10" s="210" t="n"/>
      <c r="F10" s="210" t="n"/>
      <c r="G10" s="162" t="inlineStr">
        <is>
          <t>на ед.изм.</t>
        </is>
      </c>
      <c r="H10" s="162" t="inlineStr">
        <is>
          <t>общая</t>
        </is>
      </c>
      <c r="K10" s="144" t="n"/>
    </row>
    <row r="11">
      <c r="A11" s="94" t="n">
        <v>1</v>
      </c>
      <c r="B11" s="94" t="n"/>
      <c r="C11" s="94" t="n">
        <v>2</v>
      </c>
      <c r="D11" s="94" t="inlineStr">
        <is>
          <t>З</t>
        </is>
      </c>
      <c r="E11" s="94" t="n">
        <v>4</v>
      </c>
      <c r="F11" s="94" t="n">
        <v>5</v>
      </c>
      <c r="G11" s="94" t="n">
        <v>6</v>
      </c>
      <c r="H11" s="94" t="n">
        <v>7</v>
      </c>
      <c r="K11" s="144" t="n"/>
    </row>
    <row r="12">
      <c r="A12" s="163" t="inlineStr">
        <is>
          <t>Затраты труда рабочих</t>
        </is>
      </c>
      <c r="B12" s="207" t="n"/>
      <c r="C12" s="207" t="n"/>
      <c r="D12" s="207" t="n"/>
      <c r="E12" s="208" t="n"/>
      <c r="F12" s="150" t="n">
        <v>1.03</v>
      </c>
      <c r="G12" s="150" t="n"/>
      <c r="H12" s="150">
        <f>SUM(H13:H13)</f>
        <v/>
      </c>
      <c r="I12" s="95" t="n"/>
      <c r="J12" s="95" t="n"/>
      <c r="K12" s="95" t="n"/>
    </row>
    <row r="13">
      <c r="A13" s="152" t="n">
        <v>1</v>
      </c>
      <c r="B13" s="151" t="n"/>
      <c r="C13" s="81" t="inlineStr">
        <is>
          <t>1-4-0</t>
        </is>
      </c>
      <c r="D13" s="31" t="inlineStr">
        <is>
          <t>Затраты труда рабочих (ср 4)</t>
        </is>
      </c>
      <c r="E13" s="148" t="inlineStr">
        <is>
          <t>чел.-ч</t>
        </is>
      </c>
      <c r="F13" s="148" t="n">
        <v>1.03</v>
      </c>
      <c r="G13" s="150" t="n">
        <v>9.619999999999999</v>
      </c>
      <c r="H13" s="150">
        <f>ROUND(F13*G13,2)</f>
        <v/>
      </c>
      <c r="K13" s="144" t="n"/>
    </row>
    <row r="14">
      <c r="A14" s="163" t="inlineStr">
        <is>
          <t>Затраты труда машинистов</t>
        </is>
      </c>
      <c r="B14" s="207" t="n"/>
      <c r="C14" s="207" t="n"/>
      <c r="D14" s="207" t="n"/>
      <c r="E14" s="208" t="n"/>
      <c r="F14" s="148" t="n">
        <v>0.06</v>
      </c>
      <c r="G14" s="150" t="n"/>
      <c r="H14" s="150">
        <f>H15</f>
        <v/>
      </c>
      <c r="K14" s="144" t="n"/>
    </row>
    <row r="15">
      <c r="A15" s="152" t="n">
        <v>2</v>
      </c>
      <c r="B15" s="149" t="n"/>
      <c r="C15" s="169" t="n">
        <v>2</v>
      </c>
      <c r="D15" s="31" t="inlineStr">
        <is>
          <t>Затраты труда машинистов</t>
        </is>
      </c>
      <c r="E15" s="148" t="inlineStr">
        <is>
          <t>чел.-ч</t>
        </is>
      </c>
      <c r="F15" s="148" t="n">
        <v>0.06</v>
      </c>
      <c r="G15" s="150" t="n"/>
      <c r="H15" s="150" t="n">
        <v>0.76</v>
      </c>
      <c r="K15" s="144" t="n"/>
    </row>
    <row r="16">
      <c r="A16" s="163" t="inlineStr">
        <is>
          <t>Машины и механизмы</t>
        </is>
      </c>
      <c r="B16" s="207" t="n"/>
      <c r="C16" s="207" t="n"/>
      <c r="D16" s="207" t="n"/>
      <c r="E16" s="208" t="n"/>
      <c r="F16" s="148" t="n"/>
      <c r="G16" s="150" t="n"/>
      <c r="H16" s="150">
        <f>SUM(H17:H18)</f>
        <v/>
      </c>
      <c r="I16" s="95" t="n"/>
      <c r="J16" s="95" t="n"/>
      <c r="K16" s="95" t="n"/>
    </row>
    <row r="17">
      <c r="A17" s="152" t="n">
        <v>3</v>
      </c>
      <c r="B17" s="149" t="n"/>
      <c r="C17" s="169" t="inlineStr">
        <is>
          <t>91.05.05-015</t>
        </is>
      </c>
      <c r="D17" s="31" t="inlineStr">
        <is>
          <t>Краны на автомобильном ходу, грузоподъемность 16 т</t>
        </is>
      </c>
      <c r="E17" s="148" t="inlineStr">
        <is>
          <t>маш.час</t>
        </is>
      </c>
      <c r="F17" s="148" t="n">
        <v>0.03</v>
      </c>
      <c r="G17" s="150" t="n">
        <v>115.4</v>
      </c>
      <c r="H17" s="150">
        <f>ROUND(F17*G17,2)</f>
        <v/>
      </c>
      <c r="K17" s="144" t="n"/>
    </row>
    <row r="18">
      <c r="A18" s="152" t="n">
        <v>4</v>
      </c>
      <c r="B18" s="149" t="n"/>
      <c r="C18" s="169" t="inlineStr">
        <is>
          <t>91.14.02-001</t>
        </is>
      </c>
      <c r="D18" s="31" t="inlineStr">
        <is>
          <t>Автомобили бортовые, грузоподъемность до 5 т</t>
        </is>
      </c>
      <c r="E18" s="148" t="inlineStr">
        <is>
          <t>маш.час</t>
        </is>
      </c>
      <c r="F18" s="148" t="n">
        <v>0.03</v>
      </c>
      <c r="G18" s="150" t="n">
        <v>65.70999999999999</v>
      </c>
      <c r="H18" s="150">
        <f>ROUND(F18*G18,2)</f>
        <v/>
      </c>
      <c r="I18" s="95" t="n"/>
      <c r="J18" s="95" t="n"/>
      <c r="K18" s="95" t="n"/>
    </row>
    <row r="19">
      <c r="A19" s="163" t="inlineStr">
        <is>
          <t>Оборудование</t>
        </is>
      </c>
      <c r="B19" s="207" t="n"/>
      <c r="C19" s="207" t="n"/>
      <c r="D19" s="207" t="n"/>
      <c r="E19" s="208" t="n"/>
      <c r="F19" s="148" t="n"/>
      <c r="G19" s="150" t="n"/>
      <c r="H19" s="150">
        <f>SUM(H20:H20)</f>
        <v/>
      </c>
      <c r="J19" s="100" t="n"/>
    </row>
    <row r="20">
      <c r="A20" s="152" t="n">
        <v>5</v>
      </c>
      <c r="B20" s="149" t="n"/>
      <c r="C20" s="169" t="inlineStr">
        <is>
          <t>Прайс из СД ОП</t>
        </is>
      </c>
      <c r="D20" s="31" t="inlineStr">
        <is>
          <t>Индикатор ИКЗ-В23Р</t>
        </is>
      </c>
      <c r="E20" s="148" t="inlineStr">
        <is>
          <t>шт</t>
        </is>
      </c>
      <c r="F20" s="148" t="n">
        <v>1</v>
      </c>
      <c r="G20" s="150" t="n">
        <v>9453.950000000001</v>
      </c>
      <c r="H20" s="150">
        <f>ROUND(F20*G20,2)</f>
        <v/>
      </c>
    </row>
    <row r="21">
      <c r="A21" s="163" t="inlineStr">
        <is>
          <t>Материалы</t>
        </is>
      </c>
      <c r="B21" s="207" t="n"/>
      <c r="C21" s="207" t="n"/>
      <c r="D21" s="207" t="n"/>
      <c r="E21" s="208" t="n"/>
      <c r="F21" s="148" t="n"/>
      <c r="G21" s="150" t="n"/>
      <c r="H21" s="150">
        <f>SUM(H22:H23)</f>
        <v/>
      </c>
      <c r="J21" s="100" t="n"/>
    </row>
    <row r="22">
      <c r="A22" s="152" t="n">
        <v>6</v>
      </c>
      <c r="B22" s="149" t="n"/>
      <c r="C22" s="169" t="inlineStr">
        <is>
          <t>01.7.15.03-0042</t>
        </is>
      </c>
      <c r="D22" s="31" t="inlineStr">
        <is>
          <t>Болты с гайками и шайбами строительные</t>
        </is>
      </c>
      <c r="E22" s="148" t="inlineStr">
        <is>
          <t>кг</t>
        </is>
      </c>
      <c r="F22" s="148" t="n">
        <v>0.04</v>
      </c>
      <c r="G22" s="150" t="n">
        <v>9.039999999999999</v>
      </c>
      <c r="H22" s="150">
        <f>ROUND(F22*G22,2)</f>
        <v/>
      </c>
    </row>
    <row r="23" ht="25.5" customHeight="1" s="142">
      <c r="A23" s="152" t="n">
        <v>7</v>
      </c>
      <c r="B23" s="149" t="n"/>
      <c r="C23" s="169" t="inlineStr">
        <is>
          <t>999-9950</t>
        </is>
      </c>
      <c r="D23" s="31" t="inlineStr">
        <is>
          <t>Вспомогательные ненормируемые ресурсы (2% от Оплаты труда рабочих)</t>
        </is>
      </c>
      <c r="E23" s="148" t="inlineStr">
        <is>
          <t>руб</t>
        </is>
      </c>
      <c r="F23" s="148" t="n">
        <v>0.2</v>
      </c>
      <c r="G23" s="150" t="n">
        <v>1</v>
      </c>
      <c r="H23" s="150">
        <f>ROUND(F23*G23,2)</f>
        <v/>
      </c>
    </row>
    <row r="26">
      <c r="B26" s="144" t="inlineStr">
        <is>
          <t>Составил ______________________        Е.А. Князева</t>
        </is>
      </c>
    </row>
    <row r="27">
      <c r="B27" s="117" t="inlineStr">
        <is>
          <t xml:space="preserve">                         (подпись, инициалы, фамилия)</t>
        </is>
      </c>
    </row>
    <row r="29">
      <c r="B29" s="144" t="inlineStr">
        <is>
          <t>Проверил ______________________        А.В. Костянецкая</t>
        </is>
      </c>
    </row>
    <row r="30">
      <c r="B30" s="117" t="inlineStr">
        <is>
          <t xml:space="preserve">                        (подпись, инициалы, фамилия)</t>
        </is>
      </c>
    </row>
  </sheetData>
  <mergeCells count="15">
    <mergeCell ref="A21:E21"/>
    <mergeCell ref="C9:C10"/>
    <mergeCell ref="B9:B10"/>
    <mergeCell ref="A12:E12"/>
    <mergeCell ref="A3:H3"/>
    <mergeCell ref="D9:D10"/>
    <mergeCell ref="E9:E10"/>
    <mergeCell ref="F9:F10"/>
    <mergeCell ref="A16:E16"/>
    <mergeCell ref="A9:A10"/>
    <mergeCell ref="A14:E14"/>
    <mergeCell ref="A2:H2"/>
    <mergeCell ref="A19:E19"/>
    <mergeCell ref="A5:H5"/>
    <mergeCell ref="G9:H9"/>
  </mergeCells>
  <pageMargins left="0.7" right="0.7" top="0.75" bottom="0.75" header="0.3" footer="0.3"/>
  <pageSetup orientation="portrait" paperSize="9" scale="4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50"/>
  <sheetViews>
    <sheetView view="pageBreakPreview" topLeftCell="A28" workbookViewId="0">
      <selection activeCell="B43" sqref="B43"/>
    </sheetView>
  </sheetViews>
  <sheetFormatPr baseColWidth="8" defaultRowHeight="15"/>
  <cols>
    <col width="4.140625" customWidth="1" style="142" min="1" max="1"/>
    <col width="36.28515625" customWidth="1" style="142" min="2" max="2"/>
    <col width="18.85546875" customWidth="1" style="142" min="3" max="3"/>
    <col width="18.28515625" customWidth="1" style="142" min="4" max="4"/>
    <col width="18.85546875" customWidth="1" style="142" min="5" max="5"/>
    <col width="9.140625" customWidth="1" style="142" min="6" max="6"/>
    <col width="12.85546875" customWidth="1" style="142" min="7" max="7"/>
    <col width="9.140625" customWidth="1" style="142" min="8" max="11"/>
    <col width="13.5703125" customWidth="1" style="142" min="12" max="12"/>
    <col width="9.140625" customWidth="1" style="142" min="13" max="13"/>
  </cols>
  <sheetData>
    <row r="1">
      <c r="B1" s="130" t="n"/>
      <c r="C1" s="130" t="n"/>
      <c r="D1" s="130" t="n"/>
      <c r="E1" s="130" t="n"/>
    </row>
    <row r="2">
      <c r="B2" s="130" t="n"/>
      <c r="C2" s="130" t="n"/>
      <c r="D2" s="130" t="n"/>
      <c r="E2" s="189" t="inlineStr">
        <is>
          <t>Приложение № 4</t>
        </is>
      </c>
    </row>
    <row r="3">
      <c r="B3" s="130" t="n"/>
      <c r="C3" s="130" t="n"/>
      <c r="D3" s="130" t="n"/>
      <c r="E3" s="130" t="n"/>
    </row>
    <row r="4">
      <c r="B4" s="130" t="n"/>
      <c r="C4" s="130" t="n"/>
      <c r="D4" s="130" t="n"/>
      <c r="E4" s="130" t="n"/>
    </row>
    <row r="5">
      <c r="B5" s="166" t="inlineStr">
        <is>
          <t>Ресурсная модель</t>
        </is>
      </c>
    </row>
    <row r="6">
      <c r="B6" s="18" t="n"/>
      <c r="C6" s="130" t="n"/>
      <c r="D6" s="130" t="n"/>
      <c r="E6" s="130" t="n"/>
    </row>
    <row r="7" ht="39.75" customHeight="1" s="142">
      <c r="B7" s="167">
        <f>'Прил.1 Сравнит табл'!B7</f>
        <v/>
      </c>
    </row>
    <row r="8">
      <c r="B8" s="168">
        <f>'Прил.1 Сравнит табл'!B9</f>
        <v/>
      </c>
    </row>
    <row r="9">
      <c r="B9" s="18" t="n"/>
      <c r="C9" s="130" t="n"/>
      <c r="D9" s="130" t="n"/>
      <c r="E9" s="130" t="n"/>
    </row>
    <row r="10" ht="51" customHeight="1" s="142">
      <c r="B10" s="169" t="inlineStr">
        <is>
          <t>Наименование</t>
        </is>
      </c>
      <c r="C10" s="169" t="inlineStr">
        <is>
          <t>Сметная стоимость в ценах на 01.01.2023
 (руб.)</t>
        </is>
      </c>
      <c r="D10" s="169" t="inlineStr">
        <is>
          <t>Удельный вес, 
(в СМР)</t>
        </is>
      </c>
      <c r="E10" s="169" t="inlineStr">
        <is>
          <t>Удельный вес, % 
(от всего по РМ)</t>
        </is>
      </c>
    </row>
    <row r="11">
      <c r="B11" s="31" t="inlineStr">
        <is>
          <t>Оплата труда рабочих</t>
        </is>
      </c>
      <c r="C11" s="132">
        <f>'Прил.5 Расчет СМР и ОБ'!J13</f>
        <v/>
      </c>
      <c r="D11" s="33">
        <f>C11/$C$24</f>
        <v/>
      </c>
      <c r="E11" s="33">
        <f>C11/$C$40</f>
        <v/>
      </c>
    </row>
    <row r="12">
      <c r="B12" s="31" t="inlineStr">
        <is>
          <t>Эксплуатация машин основных</t>
        </is>
      </c>
      <c r="C12" s="132">
        <f>'Прил.5 Расчет СМР и ОБ'!J20</f>
        <v/>
      </c>
      <c r="D12" s="33">
        <f>C12/$C$24</f>
        <v/>
      </c>
      <c r="E12" s="33">
        <f>C12/$C$40</f>
        <v/>
      </c>
    </row>
    <row r="13">
      <c r="B13" s="31" t="inlineStr">
        <is>
          <t>Эксплуатация машин прочих</t>
        </is>
      </c>
      <c r="C13" s="132">
        <f>'Прил.5 Расчет СМР и ОБ'!J21</f>
        <v/>
      </c>
      <c r="D13" s="33">
        <f>C13/$C$24</f>
        <v/>
      </c>
      <c r="E13" s="33">
        <f>C13/$C$40</f>
        <v/>
      </c>
    </row>
    <row r="14">
      <c r="B14" s="31" t="inlineStr">
        <is>
          <t>ЭКСПЛУАТАЦИЯ МАШИН, ВСЕГО:</t>
        </is>
      </c>
      <c r="C14" s="132">
        <f>C13+C12</f>
        <v/>
      </c>
      <c r="D14" s="33">
        <f>C14/$C$24</f>
        <v/>
      </c>
      <c r="E14" s="33">
        <f>C14/$C$40</f>
        <v/>
      </c>
    </row>
    <row r="15">
      <c r="B15" s="31" t="inlineStr">
        <is>
          <t>в том числе зарплата машинистов</t>
        </is>
      </c>
      <c r="C15" s="132">
        <f>'Прил.5 Расчет СМР и ОБ'!J15</f>
        <v/>
      </c>
      <c r="D15" s="33">
        <f>C15/$C$24</f>
        <v/>
      </c>
      <c r="E15" s="33">
        <f>C15/$C$40</f>
        <v/>
      </c>
    </row>
    <row r="16">
      <c r="B16" s="31" t="inlineStr">
        <is>
          <t>Материалы основные</t>
        </is>
      </c>
      <c r="C16" s="132">
        <f>'Прил.5 Расчет СМР и ОБ'!J34</f>
        <v/>
      </c>
      <c r="D16" s="33">
        <f>C16/$C$24</f>
        <v/>
      </c>
      <c r="E16" s="33">
        <f>C16/$C$40</f>
        <v/>
      </c>
    </row>
    <row r="17">
      <c r="B17" s="31" t="inlineStr">
        <is>
          <t>Материалы прочие</t>
        </is>
      </c>
      <c r="C17" s="132">
        <f>'Прил.5 Расчет СМР и ОБ'!J35</f>
        <v/>
      </c>
      <c r="D17" s="33">
        <f>C17/$C$24</f>
        <v/>
      </c>
      <c r="E17" s="33">
        <f>C17/$C$40</f>
        <v/>
      </c>
      <c r="G17" s="214" t="n"/>
    </row>
    <row r="18">
      <c r="B18" s="31" t="inlineStr">
        <is>
          <t>МАТЕРИАЛЫ, ВСЕГО:</t>
        </is>
      </c>
      <c r="C18" s="132">
        <f>C17+C16</f>
        <v/>
      </c>
      <c r="D18" s="33">
        <f>C18/$C$24</f>
        <v/>
      </c>
      <c r="E18" s="33">
        <f>C18/$C$40</f>
        <v/>
      </c>
    </row>
    <row r="19">
      <c r="B19" s="31" t="inlineStr">
        <is>
          <t>ИТОГО</t>
        </is>
      </c>
      <c r="C19" s="132">
        <f>C18+C14+C11</f>
        <v/>
      </c>
      <c r="D19" s="33" t="n"/>
      <c r="E19" s="31" t="n"/>
    </row>
    <row r="20">
      <c r="B20" s="31" t="inlineStr">
        <is>
          <t>Сметная прибыль, руб.</t>
        </is>
      </c>
      <c r="C20" s="132">
        <f>ROUND(C21*(C11+C15),2)</f>
        <v/>
      </c>
      <c r="D20" s="33">
        <f>C20/$C$24</f>
        <v/>
      </c>
      <c r="E20" s="33">
        <f>C20/$C$40</f>
        <v/>
      </c>
    </row>
    <row r="21">
      <c r="B21" s="31" t="inlineStr">
        <is>
          <t>Сметная прибыль, %</t>
        </is>
      </c>
      <c r="C21" s="36">
        <f>'Прил.5 Расчет СМР и ОБ'!E39</f>
        <v/>
      </c>
      <c r="D21" s="33" t="n"/>
      <c r="E21" s="31" t="n"/>
    </row>
    <row r="22">
      <c r="B22" s="31" t="inlineStr">
        <is>
          <t>Накладные расходы, руб.</t>
        </is>
      </c>
      <c r="C22" s="132">
        <f>ROUND(C23*(C11+C15),2)</f>
        <v/>
      </c>
      <c r="D22" s="33">
        <f>C22/$C$24</f>
        <v/>
      </c>
      <c r="E22" s="33">
        <f>C22/$C$40</f>
        <v/>
      </c>
    </row>
    <row r="23">
      <c r="B23" s="31" t="inlineStr">
        <is>
          <t>Накладные расходы, %</t>
        </is>
      </c>
      <c r="C23" s="36">
        <f>'Прил.5 Расчет СМР и ОБ'!E38</f>
        <v/>
      </c>
      <c r="D23" s="33" t="n"/>
      <c r="E23" s="31" t="n"/>
    </row>
    <row r="24">
      <c r="B24" s="31" t="inlineStr">
        <is>
          <t>ВСЕГО СМР с НР и СП</t>
        </is>
      </c>
      <c r="C24" s="132">
        <f>C19+C20+C22</f>
        <v/>
      </c>
      <c r="D24" s="33">
        <f>C24/$C$24</f>
        <v/>
      </c>
      <c r="E24" s="33">
        <f>C24/$C$40</f>
        <v/>
      </c>
    </row>
    <row r="25" ht="25.5" customHeight="1" s="142">
      <c r="B25" s="31" t="inlineStr">
        <is>
          <t>ВСЕГО стоимость оборудования, в том числе</t>
        </is>
      </c>
      <c r="C25" s="132">
        <f>'Прил.5 Расчет СМР и ОБ'!J28</f>
        <v/>
      </c>
      <c r="D25" s="33" t="n"/>
      <c r="E25" s="33">
        <f>C25/$C$40</f>
        <v/>
      </c>
    </row>
    <row r="26" ht="25.5" customHeight="1" s="142">
      <c r="B26" s="31" t="inlineStr">
        <is>
          <t>стоимость оборудования технологического</t>
        </is>
      </c>
      <c r="C26" s="132">
        <f>'Прил.5 Расчет СМР и ОБ'!J29</f>
        <v/>
      </c>
      <c r="D26" s="33" t="n"/>
      <c r="E26" s="33">
        <f>C26/$C$40</f>
        <v/>
      </c>
    </row>
    <row r="27">
      <c r="B27" s="31" t="inlineStr">
        <is>
          <t>ИТОГО (СМР + ОБОРУДОВАНИЕ)</t>
        </is>
      </c>
      <c r="C27" s="32">
        <f>C24+C25</f>
        <v/>
      </c>
      <c r="D27" s="33" t="n"/>
      <c r="E27" s="33">
        <f>C27/$C$40</f>
        <v/>
      </c>
    </row>
    <row r="28" ht="33" customHeight="1" s="142">
      <c r="B28" s="31" t="inlineStr">
        <is>
          <t>ПРОЧ. ЗАТР., УЧТЕННЫЕ ПОКАЗАТЕЛЕМ,  в том числе</t>
        </is>
      </c>
      <c r="C28" s="31" t="n"/>
      <c r="D28" s="31" t="n"/>
      <c r="E28" s="31" t="n"/>
    </row>
    <row r="29" ht="25.5" customHeight="1" s="142">
      <c r="B29" s="31" t="inlineStr">
        <is>
          <t>Временные здания и сооружения - 2,5%</t>
        </is>
      </c>
      <c r="C29" s="32">
        <f>ROUND(C24*2.5%,2)</f>
        <v/>
      </c>
      <c r="D29" s="31" t="n"/>
      <c r="E29" s="33">
        <f>C29/$C$40</f>
        <v/>
      </c>
    </row>
    <row r="30" ht="38.25" customHeight="1" s="142">
      <c r="B30" s="31" t="inlineStr">
        <is>
          <t>Дополнительные затраты при производстве строительно-монтажных работ в зимнее время - 1,9%</t>
        </is>
      </c>
      <c r="C30" s="32">
        <f>ROUND((C24+C29)*1.9%,2)</f>
        <v/>
      </c>
      <c r="D30" s="31" t="n"/>
      <c r="E30" s="33">
        <f>C30/$C$40</f>
        <v/>
      </c>
    </row>
    <row r="31">
      <c r="B31" s="31" t="inlineStr">
        <is>
          <t xml:space="preserve">Пусконаладочные работы </t>
        </is>
      </c>
      <c r="C31" s="32" t="n">
        <v>0</v>
      </c>
      <c r="D31" s="31" t="n"/>
      <c r="E31" s="33">
        <f>C31/$C$40</f>
        <v/>
      </c>
    </row>
    <row r="32" ht="25.5" customHeight="1" s="142">
      <c r="B32" s="31" t="inlineStr">
        <is>
          <t xml:space="preserve">Затраты по перевозке работников к месту работы и обратно </t>
        </is>
      </c>
      <c r="C32" s="32" t="n">
        <v>0</v>
      </c>
      <c r="D32" s="31" t="n"/>
      <c r="E32" s="33">
        <f>C32/$C$40</f>
        <v/>
      </c>
      <c r="G32" s="103" t="n">
        <v>0</v>
      </c>
    </row>
    <row r="33" ht="25.5" customHeight="1" s="142">
      <c r="B33" s="31" t="inlineStr">
        <is>
          <t>Затраты, связанные с осуществлением работ вахтовым методом</t>
        </is>
      </c>
      <c r="C33" s="32" t="n">
        <v>0</v>
      </c>
      <c r="D33" s="31" t="n"/>
      <c r="E33" s="33">
        <f>C33/$C$40</f>
        <v/>
      </c>
      <c r="G33" s="103" t="n">
        <v>0</v>
      </c>
    </row>
    <row r="34" ht="51" customHeight="1" s="142">
      <c r="B34" s="31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32" t="n">
        <v>0</v>
      </c>
      <c r="D34" s="31" t="n"/>
      <c r="E34" s="33">
        <f>C34/$C$40</f>
        <v/>
      </c>
      <c r="G34" s="103" t="n">
        <v>0</v>
      </c>
    </row>
    <row r="35" ht="76.5" customHeight="1" s="142">
      <c r="B35" s="31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32" t="n">
        <v>0</v>
      </c>
      <c r="D35" s="31" t="n"/>
      <c r="E35" s="33">
        <f>C35/$C$40</f>
        <v/>
      </c>
      <c r="G35" s="103" t="n">
        <v>0</v>
      </c>
    </row>
    <row r="36" ht="25.5" customHeight="1" s="142">
      <c r="B36" s="31" t="inlineStr">
        <is>
          <t>Строительный контроль и содержание службы заказчика - 2,14%</t>
        </is>
      </c>
      <c r="C36" s="32">
        <f>ROUND(SUM(C27:C35)*2.14%,2)</f>
        <v/>
      </c>
      <c r="D36" s="31" t="n"/>
      <c r="E36" s="33">
        <f>C36/$C$40</f>
        <v/>
      </c>
      <c r="G36" s="72" t="n"/>
      <c r="L36" s="20" t="n"/>
    </row>
    <row r="37">
      <c r="B37" s="31" t="inlineStr">
        <is>
          <t>Авторский надзор - 0,2%</t>
        </is>
      </c>
      <c r="C37" s="32">
        <f>ROUND(SUM(C27:C35)*0.2%,2)</f>
        <v/>
      </c>
      <c r="D37" s="31" t="n"/>
      <c r="E37" s="33">
        <f>C37/$C$40</f>
        <v/>
      </c>
      <c r="G37" s="72" t="n"/>
      <c r="L37" s="20" t="n"/>
    </row>
    <row r="38" ht="38.25" customHeight="1" s="142">
      <c r="B38" s="31" t="inlineStr">
        <is>
          <t>ИТОГО (СМР+ОБОРУДОВАНИЕ+ПРОЧ. ЗАТР., УЧТЕННЫЕ ПОКАЗАТЕЛЕМ)</t>
        </is>
      </c>
      <c r="C38" s="132">
        <f>SUM(C27:C37)</f>
        <v/>
      </c>
      <c r="D38" s="31" t="n"/>
      <c r="E38" s="33">
        <f>C38/$C$40</f>
        <v/>
      </c>
    </row>
    <row r="39" ht="13.5" customHeight="1" s="142">
      <c r="B39" s="31" t="inlineStr">
        <is>
          <t>Непредвиденные расходы</t>
        </is>
      </c>
      <c r="C39" s="132">
        <f>ROUND(C38*3%,2)</f>
        <v/>
      </c>
      <c r="D39" s="31" t="n"/>
      <c r="E39" s="33">
        <f>C39/$C$40</f>
        <v/>
      </c>
    </row>
    <row r="40">
      <c r="B40" s="31" t="inlineStr">
        <is>
          <t>ВСЕГО:</t>
        </is>
      </c>
      <c r="C40" s="132">
        <f>C39+C38</f>
        <v/>
      </c>
      <c r="D40" s="31" t="n"/>
      <c r="E40" s="33">
        <f>C40/$C$40</f>
        <v/>
      </c>
    </row>
    <row r="41">
      <c r="B41" s="31" t="inlineStr">
        <is>
          <t>ИТОГО ПОКАЗАТЕЛЬ НА ЕД. ИЗМ.</t>
        </is>
      </c>
      <c r="C41" s="132">
        <f>C40/'Прил.5 Расчет СМР и ОБ'!E42</f>
        <v/>
      </c>
      <c r="D41" s="31" t="n"/>
      <c r="E41" s="31" t="n"/>
    </row>
    <row r="42">
      <c r="B42" s="134" t="n"/>
      <c r="C42" s="130" t="n"/>
      <c r="D42" s="130" t="n"/>
      <c r="E42" s="130" t="n"/>
    </row>
    <row r="43">
      <c r="B43" s="130" t="inlineStr">
        <is>
          <t>Составил ______________________        Е.А. Князева</t>
        </is>
      </c>
      <c r="C43" s="140" t="n"/>
      <c r="D43" s="130" t="n"/>
      <c r="E43" s="130" t="n"/>
    </row>
    <row r="44">
      <c r="B44" s="139" t="inlineStr">
        <is>
          <t xml:space="preserve">                         (подпись, инициалы, фамилия)</t>
        </is>
      </c>
      <c r="C44" s="140" t="n"/>
      <c r="D44" s="130" t="n"/>
      <c r="E44" s="130" t="n"/>
    </row>
    <row r="45">
      <c r="B45" s="130" t="n"/>
      <c r="C45" s="140" t="n"/>
      <c r="D45" s="130" t="n"/>
      <c r="E45" s="130" t="n"/>
    </row>
    <row r="46">
      <c r="B46" s="130" t="inlineStr">
        <is>
          <t>Проверил ______________________        А.В. Костянецкая</t>
        </is>
      </c>
      <c r="C46" s="140" t="n"/>
      <c r="D46" s="130" t="n"/>
      <c r="E46" s="130" t="n"/>
    </row>
    <row r="47">
      <c r="B47" s="139" t="inlineStr">
        <is>
          <t xml:space="preserve">                        (подпись, инициалы, фамилия)</t>
        </is>
      </c>
      <c r="C47" s="140" t="n"/>
      <c r="D47" s="130" t="n"/>
      <c r="E47" s="130" t="n"/>
    </row>
    <row r="49">
      <c r="B49" s="130" t="n"/>
      <c r="C49" s="130" t="n"/>
      <c r="D49" s="130" t="n"/>
      <c r="E49" s="130" t="n"/>
    </row>
    <row r="50">
      <c r="B50" s="130" t="n"/>
      <c r="C50" s="130" t="n"/>
      <c r="D50" s="130" t="n"/>
      <c r="E50" s="130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88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N49"/>
  <sheetViews>
    <sheetView view="pageBreakPreview" topLeftCell="A24" workbookViewId="0">
      <selection activeCell="B44" sqref="B44"/>
    </sheetView>
  </sheetViews>
  <sheetFormatPr baseColWidth="8" defaultColWidth="9.140625" defaultRowHeight="15"/>
  <cols>
    <col width="5.7109375" customWidth="1" style="140" min="1" max="1"/>
    <col width="22.5703125" customWidth="1" style="140" min="2" max="2"/>
    <col width="39.140625" customWidth="1" style="140" min="3" max="3"/>
    <col width="10.7109375" customWidth="1" style="140" min="4" max="4"/>
    <col width="12.7109375" customWidth="1" style="140" min="5" max="5"/>
    <col width="14.5703125" customWidth="1" style="140" min="6" max="6"/>
    <col width="13.42578125" customWidth="1" style="140" min="7" max="7"/>
    <col width="12.7109375" customWidth="1" style="140" min="8" max="8"/>
    <col width="14.5703125" customWidth="1" style="140" min="9" max="9"/>
    <col width="15.140625" customWidth="1" style="140" min="10" max="10"/>
    <col width="2.85546875" customWidth="1" style="140" min="11" max="11"/>
    <col width="10.7109375" customWidth="1" style="140" min="12" max="12"/>
    <col width="10.85546875" customWidth="1" style="140" min="13" max="13"/>
    <col width="9.140625" customWidth="1" style="140" min="14" max="14"/>
    <col width="9.140625" customWidth="1" style="142" min="15" max="15"/>
  </cols>
  <sheetData>
    <row r="2" ht="15.75" customHeight="1" s="142">
      <c r="I2" s="144" t="n"/>
      <c r="J2" s="73" t="inlineStr">
        <is>
          <t>Приложение №5</t>
        </is>
      </c>
    </row>
    <row r="4" ht="12.75" customFormat="1" customHeight="1" s="130">
      <c r="A4" s="166" t="inlineStr">
        <is>
          <t>Расчет стоимости СМР и оборудования</t>
        </is>
      </c>
      <c r="I4" s="166" t="n"/>
      <c r="J4" s="166" t="n"/>
    </row>
    <row r="5" ht="12.75" customFormat="1" customHeight="1" s="130">
      <c r="A5" s="166" t="n"/>
      <c r="B5" s="166" t="n"/>
      <c r="C5" s="166" t="n"/>
      <c r="D5" s="166" t="n"/>
      <c r="E5" s="166" t="n"/>
      <c r="F5" s="166" t="n"/>
      <c r="G5" s="166" t="n"/>
      <c r="H5" s="166" t="n"/>
      <c r="I5" s="166" t="n"/>
      <c r="J5" s="166" t="n"/>
    </row>
    <row r="6" ht="41.25" customFormat="1" customHeight="1" s="130">
      <c r="A6" s="96" t="inlineStr">
        <is>
          <t>Наименование разрабатываемого показателя УНЦ</t>
        </is>
      </c>
      <c r="B6" s="97" t="n"/>
      <c r="C6" s="97" t="n"/>
      <c r="D6" s="182" t="inlineStr">
        <is>
          <t>Установка ИКЗ (на ВЛ 6-35 кВ)</t>
        </is>
      </c>
    </row>
    <row r="7" ht="12.75" customFormat="1" customHeight="1" s="130">
      <c r="A7" s="182">
        <f>'Прил.1 Сравнит табл'!B9</f>
        <v/>
      </c>
      <c r="I7" s="167" t="n"/>
      <c r="J7" s="167" t="n"/>
    </row>
    <row r="8" ht="27" customHeight="1" s="142">
      <c r="A8" s="169" t="inlineStr">
        <is>
          <t>№ пп.</t>
        </is>
      </c>
      <c r="B8" s="169" t="inlineStr">
        <is>
          <t>Код ресурса</t>
        </is>
      </c>
      <c r="C8" s="169" t="inlineStr">
        <is>
          <t>Наименование</t>
        </is>
      </c>
      <c r="D8" s="169" t="inlineStr">
        <is>
          <t>Ед. изм.</t>
        </is>
      </c>
      <c r="E8" s="169" t="inlineStr">
        <is>
          <t>Кол-во единиц по проектным данным</t>
        </is>
      </c>
      <c r="F8" s="169" t="inlineStr">
        <is>
          <t>Сметная стоимость в ценах на 01.01.2000 (руб.)</t>
        </is>
      </c>
      <c r="G8" s="208" t="n"/>
      <c r="H8" s="169" t="inlineStr">
        <is>
          <t>Удельный вес, %</t>
        </is>
      </c>
      <c r="I8" s="169" t="inlineStr">
        <is>
          <t>Сметная стоимость в ценах на 01.01.2023 (руб.)</t>
        </is>
      </c>
      <c r="J8" s="208" t="n"/>
    </row>
    <row r="9" ht="28.5" customHeight="1" s="142">
      <c r="A9" s="210" t="n"/>
      <c r="B9" s="210" t="n"/>
      <c r="C9" s="210" t="n"/>
      <c r="D9" s="210" t="n"/>
      <c r="E9" s="210" t="n"/>
      <c r="F9" s="169" t="inlineStr">
        <is>
          <t>на ед. изм.</t>
        </is>
      </c>
      <c r="G9" s="169" t="inlineStr">
        <is>
          <t>общая</t>
        </is>
      </c>
      <c r="H9" s="210" t="n"/>
      <c r="I9" s="169" t="inlineStr">
        <is>
          <t>на ед. изм.</t>
        </is>
      </c>
      <c r="J9" s="169" t="inlineStr">
        <is>
          <t>общая</t>
        </is>
      </c>
    </row>
    <row r="10">
      <c r="A10" s="169" t="n">
        <v>1</v>
      </c>
      <c r="B10" s="169" t="n">
        <v>2</v>
      </c>
      <c r="C10" s="169" t="n">
        <v>3</v>
      </c>
      <c r="D10" s="169" t="n">
        <v>4</v>
      </c>
      <c r="E10" s="169" t="n">
        <v>5</v>
      </c>
      <c r="F10" s="169" t="n">
        <v>6</v>
      </c>
      <c r="G10" s="169" t="n">
        <v>7</v>
      </c>
      <c r="H10" s="169" t="n">
        <v>8</v>
      </c>
      <c r="I10" s="169" t="n">
        <v>9</v>
      </c>
      <c r="J10" s="169" t="n">
        <v>10</v>
      </c>
    </row>
    <row r="11">
      <c r="A11" s="169" t="n"/>
      <c r="B11" s="183" t="inlineStr">
        <is>
          <t>Затраты труда рабочих-строителей</t>
        </is>
      </c>
      <c r="C11" s="207" t="n"/>
      <c r="D11" s="207" t="n"/>
      <c r="E11" s="207" t="n"/>
      <c r="F11" s="207" t="n"/>
      <c r="G11" s="207" t="n"/>
      <c r="H11" s="208" t="n"/>
      <c r="I11" s="42" t="n"/>
      <c r="J11" s="42" t="n"/>
      <c r="L11" s="215" t="n"/>
    </row>
    <row r="12" ht="25.5" customHeight="1" s="142">
      <c r="A12" s="169" t="n">
        <v>1</v>
      </c>
      <c r="B12" s="81" t="inlineStr">
        <is>
          <t>1-4-0</t>
        </is>
      </c>
      <c r="C12" s="174" t="inlineStr">
        <is>
          <t>Затраты труда рабочих-строителей среднего разряда (4,0)</t>
        </is>
      </c>
      <c r="D12" s="169" t="inlineStr">
        <is>
          <t>чел.-ч.</t>
        </is>
      </c>
      <c r="E12" s="216">
        <f>G12/F12</f>
        <v/>
      </c>
      <c r="F12" s="87" t="n">
        <v>9.619999999999999</v>
      </c>
      <c r="G12" s="87">
        <f>Прил.3!H12</f>
        <v/>
      </c>
      <c r="H12" s="184">
        <f>G12/G13</f>
        <v/>
      </c>
      <c r="I12" s="87">
        <f>ФОТр.тек.!E13</f>
        <v/>
      </c>
      <c r="J12" s="87">
        <f>ROUND(I12*E12,2)</f>
        <v/>
      </c>
    </row>
    <row r="13" ht="25.5" customFormat="1" customHeight="1" s="140">
      <c r="A13" s="169" t="n"/>
      <c r="B13" s="169" t="n"/>
      <c r="C13" s="183" t="inlineStr">
        <is>
          <t>Итого по разделу "Затраты труда рабочих-строителей"</t>
        </is>
      </c>
      <c r="D13" s="169" t="inlineStr">
        <is>
          <t>чел.-ч.</t>
        </is>
      </c>
      <c r="E13" s="216">
        <f>SUM(E12:E12)</f>
        <v/>
      </c>
      <c r="F13" s="87" t="n"/>
      <c r="G13" s="87">
        <f>SUM(G12:G12)</f>
        <v/>
      </c>
      <c r="H13" s="184" t="n">
        <v>1</v>
      </c>
      <c r="I13" s="87" t="n"/>
      <c r="J13" s="87">
        <f>SUM(J12:J12)</f>
        <v/>
      </c>
      <c r="L13" s="80" t="n"/>
    </row>
    <row r="14" ht="14.25" customFormat="1" customHeight="1" s="140">
      <c r="A14" s="169" t="n"/>
      <c r="B14" s="174" t="inlineStr">
        <is>
          <t>Затраты труда машинистов</t>
        </is>
      </c>
      <c r="C14" s="207" t="n"/>
      <c r="D14" s="207" t="n"/>
      <c r="E14" s="207" t="n"/>
      <c r="F14" s="207" t="n"/>
      <c r="G14" s="207" t="n"/>
      <c r="H14" s="208" t="n"/>
      <c r="I14" s="42" t="n"/>
      <c r="J14" s="42" t="n"/>
      <c r="L14" s="215" t="n"/>
    </row>
    <row r="15" ht="14.25" customFormat="1" customHeight="1" s="140">
      <c r="A15" s="169" t="n">
        <v>2</v>
      </c>
      <c r="B15" s="169" t="n">
        <v>2</v>
      </c>
      <c r="C15" s="174" t="inlineStr">
        <is>
          <t>Затраты труда машинистов</t>
        </is>
      </c>
      <c r="D15" s="169" t="inlineStr">
        <is>
          <t>чел.-ч.</t>
        </is>
      </c>
      <c r="E15" s="216">
        <f>Прил.3!F15</f>
        <v/>
      </c>
      <c r="F15" s="87">
        <f>G15/E15</f>
        <v/>
      </c>
      <c r="G15" s="87">
        <f>Прил.3!H15</f>
        <v/>
      </c>
      <c r="H15" s="184" t="n">
        <v>1</v>
      </c>
      <c r="I15" s="87">
        <f>ROUND(F15*Прил.10!D10,2)</f>
        <v/>
      </c>
      <c r="J15" s="87">
        <f>ROUND(I15*E15,2)</f>
        <v/>
      </c>
      <c r="L15" s="69" t="n"/>
    </row>
    <row r="16" ht="14.25" customFormat="1" customHeight="1" s="140">
      <c r="A16" s="169" t="n"/>
      <c r="B16" s="183" t="inlineStr">
        <is>
          <t>Машины и механизмы</t>
        </is>
      </c>
      <c r="C16" s="207" t="n"/>
      <c r="D16" s="207" t="n"/>
      <c r="E16" s="207" t="n"/>
      <c r="F16" s="207" t="n"/>
      <c r="G16" s="207" t="n"/>
      <c r="H16" s="208" t="n"/>
      <c r="I16" s="184" t="n"/>
      <c r="J16" s="184" t="n"/>
    </row>
    <row r="17" ht="14.25" customFormat="1" customHeight="1" s="140">
      <c r="A17" s="169" t="n"/>
      <c r="B17" s="174" t="inlineStr">
        <is>
          <t>Основные машины и механизмы</t>
        </is>
      </c>
      <c r="C17" s="207" t="n"/>
      <c r="D17" s="207" t="n"/>
      <c r="E17" s="207" t="n"/>
      <c r="F17" s="207" t="n"/>
      <c r="G17" s="207" t="n"/>
      <c r="H17" s="208" t="n"/>
      <c r="I17" s="42" t="n"/>
      <c r="J17" s="42" t="n"/>
    </row>
    <row r="18" ht="25.5" customFormat="1" customHeight="1" s="140">
      <c r="A18" s="169" t="n">
        <v>3</v>
      </c>
      <c r="B18" s="81" t="inlineStr">
        <is>
          <t>91.05.05-015</t>
        </is>
      </c>
      <c r="C18" s="174" t="inlineStr">
        <is>
          <t>Краны на автомобильном ходу, грузоподъемность 16 т</t>
        </is>
      </c>
      <c r="D18" s="169" t="inlineStr">
        <is>
          <t>маш.час</t>
        </is>
      </c>
      <c r="E18" s="216" t="n">
        <v>0.03</v>
      </c>
      <c r="F18" s="188" t="n">
        <v>115.4</v>
      </c>
      <c r="G18" s="87">
        <f>ROUND(E18*F18,2)</f>
        <v/>
      </c>
      <c r="H18" s="184">
        <f>G18/$G$22</f>
        <v/>
      </c>
      <c r="I18" s="87">
        <f>ROUND(F18*Прил.10!$D$11,2)</f>
        <v/>
      </c>
      <c r="J18" s="87">
        <f>ROUND(I18*E18,2)</f>
        <v/>
      </c>
    </row>
    <row r="19" ht="25.5" customFormat="1" customHeight="1" s="140">
      <c r="A19" s="169" t="n">
        <v>4</v>
      </c>
      <c r="B19" s="81" t="inlineStr">
        <is>
          <t>91.14.02-001</t>
        </is>
      </c>
      <c r="C19" s="174" t="inlineStr">
        <is>
          <t>Автомобили бортовые, грузоподъемность до 5 т</t>
        </is>
      </c>
      <c r="D19" s="169" t="inlineStr">
        <is>
          <t>маш.час</t>
        </is>
      </c>
      <c r="E19" s="216" t="n">
        <v>0.03</v>
      </c>
      <c r="F19" s="188" t="n">
        <v>65.70999999999999</v>
      </c>
      <c r="G19" s="87">
        <f>ROUND(E19*F19,2)</f>
        <v/>
      </c>
      <c r="H19" s="184">
        <f>G19/$G$22</f>
        <v/>
      </c>
      <c r="I19" s="87">
        <f>ROUND(F19*Прил.10!$D$11,2)</f>
        <v/>
      </c>
      <c r="J19" s="87">
        <f>ROUND(I19*E19,2)</f>
        <v/>
      </c>
    </row>
    <row r="20" ht="14.25" customFormat="1" customHeight="1" s="140">
      <c r="B20" s="169" t="n"/>
      <c r="C20" s="174" t="inlineStr">
        <is>
          <t>Итого основные машины и механизмы</t>
        </is>
      </c>
      <c r="D20" s="169" t="n"/>
      <c r="E20" s="217" t="n"/>
      <c r="F20" s="87" t="n"/>
      <c r="G20" s="87">
        <f>SUM(G18:G19)</f>
        <v/>
      </c>
      <c r="H20" s="184">
        <f>G20/G22</f>
        <v/>
      </c>
      <c r="I20" s="87" t="n"/>
      <c r="J20" s="87">
        <f>SUM(J18:J19)</f>
        <v/>
      </c>
      <c r="L20" s="218" t="n"/>
    </row>
    <row r="21" ht="14.25" customFormat="1" customHeight="1" s="140">
      <c r="A21" s="169" t="n"/>
      <c r="B21" s="169" t="n"/>
      <c r="C21" s="174" t="inlineStr">
        <is>
          <t>Итого прочие машины и механизмы</t>
        </is>
      </c>
      <c r="D21" s="169" t="n"/>
      <c r="E21" s="175" t="n"/>
      <c r="F21" s="87" t="n"/>
      <c r="G21" s="87" t="n">
        <v>0</v>
      </c>
      <c r="H21" s="184">
        <f>G21/G22</f>
        <v/>
      </c>
      <c r="I21" s="87" t="n"/>
      <c r="J21" s="87" t="n">
        <v>0</v>
      </c>
      <c r="K21" s="218" t="n"/>
      <c r="L21" s="215" t="n"/>
    </row>
    <row r="22" ht="25.5" customFormat="1" customHeight="1" s="140">
      <c r="A22" s="169" t="n"/>
      <c r="B22" s="170" t="n"/>
      <c r="C22" s="178" t="inlineStr">
        <is>
          <t>Итого по разделу «Машины и механизмы»</t>
        </is>
      </c>
      <c r="D22" s="170" t="n"/>
      <c r="E22" s="59" t="n"/>
      <c r="F22" s="60" t="n"/>
      <c r="G22" s="60">
        <f>G20+G21</f>
        <v/>
      </c>
      <c r="H22" s="61" t="n">
        <v>1</v>
      </c>
      <c r="I22" s="60" t="n"/>
      <c r="J22" s="60">
        <f>J20+J21</f>
        <v/>
      </c>
    </row>
    <row r="23" s="142">
      <c r="A23" s="84" t="n"/>
      <c r="B23" s="178" t="inlineStr">
        <is>
          <t xml:space="preserve">Оборудование </t>
        </is>
      </c>
      <c r="C23" s="219" t="n"/>
      <c r="D23" s="219" t="n"/>
      <c r="E23" s="219" t="n"/>
      <c r="F23" s="219" t="n"/>
      <c r="G23" s="219" t="n"/>
      <c r="H23" s="219" t="n"/>
      <c r="I23" s="219" t="n"/>
      <c r="J23" s="220" t="n"/>
      <c r="K23" s="140" t="n"/>
      <c r="L23" s="140" t="n"/>
      <c r="M23" s="140" t="n"/>
      <c r="N23" s="140" t="n"/>
    </row>
    <row r="24" ht="15" customHeight="1" s="142">
      <c r="A24" s="169" t="n"/>
      <c r="B24" s="174" t="inlineStr">
        <is>
          <t>Основное оборудование</t>
        </is>
      </c>
      <c r="C24" s="207" t="n"/>
      <c r="D24" s="207" t="n"/>
      <c r="E24" s="207" t="n"/>
      <c r="F24" s="207" t="n"/>
      <c r="G24" s="207" t="n"/>
      <c r="H24" s="207" t="n"/>
      <c r="I24" s="207" t="n"/>
      <c r="J24" s="208" t="n"/>
      <c r="K24" s="140" t="n"/>
      <c r="L24" s="140" t="n"/>
      <c r="M24" s="140" t="n"/>
      <c r="N24" s="140" t="n"/>
    </row>
    <row r="25" s="142">
      <c r="A25" s="169" t="n">
        <v>5</v>
      </c>
      <c r="B25" s="81" t="inlineStr">
        <is>
          <t>БЦ.108_3.24</t>
        </is>
      </c>
      <c r="C25" s="174" t="inlineStr">
        <is>
          <t>Индикатор ИКЗ-В23Р</t>
        </is>
      </c>
      <c r="D25" s="169" t="inlineStr">
        <is>
          <t>шт</t>
        </is>
      </c>
      <c r="E25" s="216" t="n">
        <v>1</v>
      </c>
      <c r="F25" s="176">
        <f>ROUND(I25/Прил.10!$D$13,2)</f>
        <v/>
      </c>
      <c r="G25" s="87">
        <f>ROUND(E25*F25,2)</f>
        <v/>
      </c>
      <c r="H25" s="184">
        <f>G25/$G$28</f>
        <v/>
      </c>
      <c r="I25" s="87" t="n">
        <v>63847.21</v>
      </c>
      <c r="J25" s="87">
        <f>ROUND(I25*E25,2)</f>
        <v/>
      </c>
      <c r="K25" s="140" t="n"/>
      <c r="L25" s="140" t="n"/>
      <c r="M25" s="140" t="n"/>
      <c r="N25" s="140" t="n"/>
    </row>
    <row r="26" s="142">
      <c r="A26" s="88" t="n"/>
      <c r="B26" s="169" t="n"/>
      <c r="C26" s="174" t="inlineStr">
        <is>
          <t>Итого основное оборудование</t>
        </is>
      </c>
      <c r="D26" s="169" t="n"/>
      <c r="E26" s="216" t="n"/>
      <c r="F26" s="176" t="n"/>
      <c r="G26" s="87">
        <f>SUM(G25:G25)</f>
        <v/>
      </c>
      <c r="H26" s="184">
        <f>G26/$G$28</f>
        <v/>
      </c>
      <c r="I26" s="87" t="n"/>
      <c r="J26" s="87">
        <f>SUM(J25:J25)</f>
        <v/>
      </c>
      <c r="K26" s="218" t="n"/>
      <c r="L26" s="140" t="n"/>
      <c r="M26" s="140" t="n"/>
      <c r="N26" s="140" t="n"/>
    </row>
    <row r="27" s="142">
      <c r="A27" s="88" t="n"/>
      <c r="B27" s="169" t="n"/>
      <c r="C27" s="174" t="inlineStr">
        <is>
          <t>Итого прочее оборудование</t>
        </is>
      </c>
      <c r="D27" s="169" t="n"/>
      <c r="E27" s="175" t="n"/>
      <c r="F27" s="176" t="n"/>
      <c r="G27" s="87" t="n">
        <v>0</v>
      </c>
      <c r="H27" s="184">
        <f>G27/$G$28</f>
        <v/>
      </c>
      <c r="I27" s="87" t="n"/>
      <c r="J27" s="87" t="n">
        <v>0</v>
      </c>
      <c r="K27" s="218" t="n"/>
      <c r="L27" s="221" t="n"/>
      <c r="M27" s="140" t="n"/>
      <c r="N27" s="140" t="n"/>
    </row>
    <row r="28" s="142">
      <c r="A28" s="169" t="n"/>
      <c r="B28" s="169" t="n"/>
      <c r="C28" s="183" t="inlineStr">
        <is>
          <t>Итого по разделу «Оборудование»</t>
        </is>
      </c>
      <c r="D28" s="169" t="n"/>
      <c r="E28" s="175" t="n"/>
      <c r="F28" s="176" t="n"/>
      <c r="G28" s="87">
        <f>G26+G27</f>
        <v/>
      </c>
      <c r="H28" s="184">
        <f>(G26+G27)/G28</f>
        <v/>
      </c>
      <c r="I28" s="87" t="n"/>
      <c r="J28" s="87">
        <f>J27+J26</f>
        <v/>
      </c>
      <c r="K28" s="218" t="n"/>
      <c r="L28" s="140" t="n"/>
      <c r="M28" s="140" t="n"/>
      <c r="N28" s="140" t="n"/>
    </row>
    <row r="29" ht="25.5" customHeight="1" s="142">
      <c r="A29" s="169" t="n"/>
      <c r="B29" s="169" t="n"/>
      <c r="C29" s="174" t="inlineStr">
        <is>
          <t>в том числе технологическое оборудование</t>
        </is>
      </c>
      <c r="D29" s="169" t="n"/>
      <c r="E29" s="175" t="n"/>
      <c r="F29" s="176" t="n"/>
      <c r="G29" s="87">
        <f>'Прил.6 Расчет ОБ'!G15</f>
        <v/>
      </c>
      <c r="H29" s="184">
        <f>G29/$G$28</f>
        <v/>
      </c>
      <c r="I29" s="87" t="n"/>
      <c r="J29" s="87">
        <f>ROUND(G29*Прил.10!$D$13,2)</f>
        <v/>
      </c>
      <c r="K29" s="218" t="n"/>
      <c r="L29" s="140" t="n"/>
      <c r="M29" s="140" t="n"/>
      <c r="N29" s="140" t="n"/>
    </row>
    <row r="30" ht="14.25" customFormat="1" customHeight="1" s="140">
      <c r="A30" s="171" t="n"/>
      <c r="B30" s="222" t="inlineStr">
        <is>
          <t>Материалы</t>
        </is>
      </c>
      <c r="J30" s="223" t="n"/>
      <c r="K30" s="218" t="n"/>
    </row>
    <row r="31" ht="14.25" customFormat="1" customHeight="1" s="140">
      <c r="A31" s="169" t="n"/>
      <c r="B31" s="174" t="inlineStr">
        <is>
          <t>Основные материалы</t>
        </is>
      </c>
      <c r="C31" s="207" t="n"/>
      <c r="D31" s="207" t="n"/>
      <c r="E31" s="207" t="n"/>
      <c r="F31" s="207" t="n"/>
      <c r="G31" s="207" t="n"/>
      <c r="H31" s="208" t="n"/>
      <c r="I31" s="184" t="n"/>
      <c r="J31" s="184" t="n"/>
    </row>
    <row r="32" ht="14.25" customFormat="1" customHeight="1" s="140">
      <c r="A32" s="169" t="n">
        <v>6</v>
      </c>
      <c r="B32" s="81" t="inlineStr">
        <is>
          <t>01.7.15.03-0042</t>
        </is>
      </c>
      <c r="C32" s="174" t="inlineStr">
        <is>
          <t>Болты с гайками и шайбами строительные</t>
        </is>
      </c>
      <c r="D32" s="169" t="inlineStr">
        <is>
          <t>кг</t>
        </is>
      </c>
      <c r="E32" s="216" t="n">
        <v>0.04</v>
      </c>
      <c r="F32" s="188" t="n">
        <v>9.039999999999999</v>
      </c>
      <c r="G32" s="87">
        <f>ROUND(E32*F32,2)</f>
        <v/>
      </c>
      <c r="H32" s="184">
        <f>G32/$G$36</f>
        <v/>
      </c>
      <c r="I32" s="87">
        <f>ROUND(F32*Прил.10!$D$12,2)</f>
        <v/>
      </c>
      <c r="J32" s="87">
        <f>ROUND(I32*E32,2)</f>
        <v/>
      </c>
    </row>
    <row r="33" ht="25.5" customFormat="1" customHeight="1" s="140">
      <c r="A33" s="169" t="n">
        <v>7</v>
      </c>
      <c r="B33" s="81" t="inlineStr">
        <is>
          <t>999-9950</t>
        </is>
      </c>
      <c r="C33" s="174" t="inlineStr">
        <is>
          <t>Вспомогательные ненормируемые ресурсы (2% от Оплаты труда рабочих)</t>
        </is>
      </c>
      <c r="D33" s="169" t="inlineStr">
        <is>
          <t>руб</t>
        </is>
      </c>
      <c r="E33" s="216" t="n">
        <v>0.2</v>
      </c>
      <c r="F33" s="188" t="n">
        <v>1</v>
      </c>
      <c r="G33" s="87">
        <f>ROUND(E33*F33,2)</f>
        <v/>
      </c>
      <c r="H33" s="184">
        <f>G33/$G$36</f>
        <v/>
      </c>
      <c r="I33" s="87">
        <f>ROUND(F33*Прил.10!$D$12,2)</f>
        <v/>
      </c>
      <c r="J33" s="87">
        <f>ROUND(I33*E33,2)</f>
        <v/>
      </c>
    </row>
    <row r="34" ht="14.25" customFormat="1" customHeight="1" s="140">
      <c r="B34" s="169" t="n"/>
      <c r="C34" s="174" t="inlineStr">
        <is>
          <t>Итого основные материалы</t>
        </is>
      </c>
      <c r="D34" s="169" t="n"/>
      <c r="E34" s="216" t="n"/>
      <c r="F34" s="176" t="n"/>
      <c r="G34" s="87">
        <f>SUM(G32:G33)</f>
        <v/>
      </c>
      <c r="H34" s="184">
        <f>G34/$G$36</f>
        <v/>
      </c>
      <c r="I34" s="87" t="n"/>
      <c r="J34" s="87">
        <f>SUM(J32:J33)</f>
        <v/>
      </c>
      <c r="K34" s="218" t="n"/>
    </row>
    <row r="35" customFormat="1" s="140">
      <c r="A35" s="169" t="n"/>
      <c r="B35" s="169" t="n"/>
      <c r="C35" s="174" t="inlineStr">
        <is>
          <t>Итого прочие материалы</t>
        </is>
      </c>
      <c r="D35" s="169" t="n"/>
      <c r="E35" s="175" t="n"/>
      <c r="F35" s="176" t="n"/>
      <c r="G35" s="87" t="n">
        <v>0</v>
      </c>
      <c r="H35" s="184">
        <f>G35/G36</f>
        <v/>
      </c>
      <c r="I35" s="87" t="n"/>
      <c r="J35" s="87" t="n">
        <v>0</v>
      </c>
      <c r="L35" s="221" t="n"/>
    </row>
    <row r="36" ht="14.25" customFormat="1" customHeight="1" s="140">
      <c r="A36" s="169" t="n"/>
      <c r="B36" s="169" t="n"/>
      <c r="C36" s="183" t="inlineStr">
        <is>
          <t>Итого по разделу «Материалы»</t>
        </is>
      </c>
      <c r="D36" s="169" t="n"/>
      <c r="E36" s="175" t="n"/>
      <c r="F36" s="176" t="n"/>
      <c r="G36" s="87">
        <f>G34+G35</f>
        <v/>
      </c>
      <c r="H36" s="184" t="n">
        <v>1</v>
      </c>
      <c r="I36" s="176" t="n"/>
      <c r="J36" s="87">
        <f>J34+J35</f>
        <v/>
      </c>
      <c r="K36" s="218" t="n"/>
    </row>
    <row r="37" ht="14.25" customFormat="1" customHeight="1" s="140">
      <c r="A37" s="169" t="n"/>
      <c r="B37" s="169" t="n"/>
      <c r="C37" s="174" t="inlineStr">
        <is>
          <t>ИТОГО ПО РМ</t>
        </is>
      </c>
      <c r="D37" s="169" t="n"/>
      <c r="E37" s="175" t="n"/>
      <c r="F37" s="176" t="n"/>
      <c r="G37" s="87">
        <f>G13+G22+G36</f>
        <v/>
      </c>
      <c r="H37" s="184" t="n"/>
      <c r="I37" s="176" t="n"/>
      <c r="J37" s="87">
        <f>J13+J22+J36</f>
        <v/>
      </c>
    </row>
    <row r="38" ht="14.25" customFormat="1" customHeight="1" s="140">
      <c r="A38" s="169" t="n"/>
      <c r="B38" s="169" t="n"/>
      <c r="C38" s="174" t="inlineStr">
        <is>
          <t>Накладные расходы</t>
        </is>
      </c>
      <c r="D38" s="169" t="inlineStr">
        <is>
          <t>%</t>
        </is>
      </c>
      <c r="E38" s="67">
        <f>ROUND(G38/(G13+G15),2)</f>
        <v/>
      </c>
      <c r="F38" s="176" t="n"/>
      <c r="G38" s="87" t="n">
        <v>10.35</v>
      </c>
      <c r="H38" s="184" t="n"/>
      <c r="I38" s="176" t="n"/>
      <c r="J38" s="87">
        <f>ROUND(E38*(J13+J15),2)</f>
        <v/>
      </c>
      <c r="K38" s="68" t="n"/>
    </row>
    <row r="39" ht="14.25" customFormat="1" customHeight="1" s="140">
      <c r="A39" s="169" t="n"/>
      <c r="B39" s="169" t="n"/>
      <c r="C39" s="174" t="inlineStr">
        <is>
          <t>Сметная прибыль</t>
        </is>
      </c>
      <c r="D39" s="169" t="inlineStr">
        <is>
          <t>%</t>
        </is>
      </c>
      <c r="E39" s="67">
        <f>ROUND(G39/(G13+G15),2)</f>
        <v/>
      </c>
      <c r="F39" s="176" t="n"/>
      <c r="G39" s="87" t="n">
        <v>5.44</v>
      </c>
      <c r="H39" s="184" t="n"/>
      <c r="I39" s="176" t="n"/>
      <c r="J39" s="87">
        <f>ROUND(E39*(J13+J15),2)</f>
        <v/>
      </c>
      <c r="K39" s="68" t="n"/>
    </row>
    <row r="40" ht="14.25" customFormat="1" customHeight="1" s="140">
      <c r="A40" s="169" t="n"/>
      <c r="B40" s="169" t="n"/>
      <c r="C40" s="174" t="inlineStr">
        <is>
          <t>Итого СМР (с НР и СП)</t>
        </is>
      </c>
      <c r="D40" s="169" t="n"/>
      <c r="E40" s="175" t="n"/>
      <c r="F40" s="176" t="n"/>
      <c r="G40" s="87">
        <f>G13+G22+G36+G38+G39</f>
        <v/>
      </c>
      <c r="H40" s="184" t="n"/>
      <c r="I40" s="176" t="n"/>
      <c r="J40" s="87">
        <f>J13+J22+J36+J38+J39</f>
        <v/>
      </c>
      <c r="L40" s="69" t="n"/>
    </row>
    <row r="41" ht="14.25" customFormat="1" customHeight="1" s="140">
      <c r="A41" s="169" t="n"/>
      <c r="B41" s="169" t="n"/>
      <c r="C41" s="174" t="inlineStr">
        <is>
          <t>ВСЕГО СМР + ОБОРУДОВАНИЕ</t>
        </is>
      </c>
      <c r="D41" s="169" t="n"/>
      <c r="E41" s="175" t="n"/>
      <c r="F41" s="176" t="n"/>
      <c r="G41" s="87">
        <f>G40+G28</f>
        <v/>
      </c>
      <c r="H41" s="184" t="n"/>
      <c r="I41" s="176" t="n"/>
      <c r="J41" s="87">
        <f>J40+J28</f>
        <v/>
      </c>
      <c r="L41" s="68" t="n"/>
    </row>
    <row r="42" ht="14.25" customFormat="1" customHeight="1" s="140">
      <c r="A42" s="169" t="n"/>
      <c r="B42" s="169" t="n"/>
      <c r="C42" s="174" t="inlineStr">
        <is>
          <t>ИТОГО ПОКАЗАТЕЛЬ НА ЕД. ИЗМ.</t>
        </is>
      </c>
      <c r="D42" s="169" t="inlineStr">
        <is>
          <t>ед.</t>
        </is>
      </c>
      <c r="E42" s="101">
        <f>'Прил.1 Сравнит табл'!E15</f>
        <v/>
      </c>
      <c r="F42" s="176" t="n"/>
      <c r="G42" s="87">
        <f>G41/E42</f>
        <v/>
      </c>
      <c r="H42" s="184" t="n"/>
      <c r="I42" s="176" t="n"/>
      <c r="J42" s="87">
        <f>J41/E42</f>
        <v/>
      </c>
      <c r="L42" s="215" t="n"/>
    </row>
    <row r="44" ht="14.25" customFormat="1" customHeight="1" s="140">
      <c r="A44" s="141" t="n"/>
    </row>
    <row r="45" ht="14.25" customFormat="1" customHeight="1" s="140">
      <c r="A45" s="130" t="inlineStr">
        <is>
          <t>Составил ______________________        Е.А. Князева</t>
        </is>
      </c>
      <c r="B45" s="140" t="n"/>
    </row>
    <row r="46" ht="14.25" customFormat="1" customHeight="1" s="140">
      <c r="A46" s="139" t="inlineStr">
        <is>
          <t xml:space="preserve">                         (подпись, инициалы, фамилия)</t>
        </is>
      </c>
      <c r="B46" s="140" t="n"/>
    </row>
    <row r="47" ht="14.25" customFormat="1" customHeight="1" s="140">
      <c r="A47" s="130" t="n"/>
      <c r="B47" s="140" t="n"/>
    </row>
    <row r="48" ht="14.25" customFormat="1" customHeight="1" s="140">
      <c r="A48" s="130" t="inlineStr">
        <is>
          <t>Проверил ______________________        А.В. Костянецкая</t>
        </is>
      </c>
      <c r="B48" s="140" t="n"/>
    </row>
    <row r="49" ht="14.25" customFormat="1" customHeight="1" s="140">
      <c r="A49" s="139" t="inlineStr">
        <is>
          <t xml:space="preserve">                        (подпись, инициалы, фамилия)</t>
        </is>
      </c>
      <c r="B49" s="140" t="n"/>
    </row>
  </sheetData>
  <mergeCells count="19">
    <mergeCell ref="E8:E9"/>
    <mergeCell ref="B23:J23"/>
    <mergeCell ref="B8:B9"/>
    <mergeCell ref="A7:H7"/>
    <mergeCell ref="B16:H16"/>
    <mergeCell ref="B30:J30"/>
    <mergeCell ref="B24:J24"/>
    <mergeCell ref="B31:H31"/>
    <mergeCell ref="F8:G8"/>
    <mergeCell ref="A8:A9"/>
    <mergeCell ref="C8:C9"/>
    <mergeCell ref="D6:J6"/>
    <mergeCell ref="D8:D9"/>
    <mergeCell ref="I8:J8"/>
    <mergeCell ref="B11:H11"/>
    <mergeCell ref="A4:H4"/>
    <mergeCell ref="B14:H14"/>
    <mergeCell ref="B17:H17"/>
    <mergeCell ref="H8:H9"/>
  </mergeCells>
  <pageMargins left="0.7" right="0.7" top="0.75" bottom="0.75" header="0.3" footer="0.3"/>
  <pageSetup orientation="portrait" paperSize="9" scale="5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view="pageBreakPreview" workbookViewId="0">
      <selection activeCell="C16" sqref="B16:C16"/>
    </sheetView>
  </sheetViews>
  <sheetFormatPr baseColWidth="8" defaultRowHeight="15"/>
  <cols>
    <col width="5.7109375" customWidth="1" style="142" min="1" max="1"/>
    <col width="14.85546875" customWidth="1" style="142" min="2" max="2"/>
    <col width="39.140625" customWidth="1" style="142" min="3" max="3"/>
    <col width="8.28515625" customWidth="1" style="142" min="4" max="4"/>
    <col width="13.5703125" customWidth="1" style="142" min="5" max="5"/>
    <col width="12.42578125" customWidth="1" style="142" min="6" max="6"/>
    <col width="14.140625" customWidth="1" style="142" min="7" max="7"/>
  </cols>
  <sheetData>
    <row r="1">
      <c r="A1" s="189" t="inlineStr">
        <is>
          <t>Приложение №6</t>
        </is>
      </c>
    </row>
    <row r="2">
      <c r="A2" s="189" t="n"/>
      <c r="B2" s="189" t="n"/>
      <c r="C2" s="189" t="n"/>
      <c r="D2" s="189" t="n"/>
      <c r="E2" s="189" t="n"/>
      <c r="F2" s="189" t="n"/>
      <c r="G2" s="189" t="n"/>
    </row>
    <row r="3">
      <c r="A3" s="189" t="n"/>
      <c r="B3" s="189" t="n"/>
      <c r="C3" s="189" t="n"/>
      <c r="D3" s="189" t="n"/>
      <c r="E3" s="189" t="n"/>
      <c r="F3" s="189" t="n"/>
      <c r="G3" s="189" t="n"/>
    </row>
    <row r="4">
      <c r="A4" s="189" t="n"/>
      <c r="B4" s="189" t="n"/>
      <c r="C4" s="189" t="n"/>
      <c r="D4" s="189" t="n"/>
      <c r="E4" s="189" t="n"/>
      <c r="F4" s="189" t="n"/>
      <c r="G4" s="189" t="n"/>
    </row>
    <row r="5">
      <c r="A5" s="166" t="inlineStr">
        <is>
          <t>Расчет стоимости оборудования</t>
        </is>
      </c>
    </row>
    <row r="6" ht="64.5" customHeight="1" s="142">
      <c r="A6" s="191">
        <f>'Прил.1 Сравнит табл'!B7</f>
        <v/>
      </c>
    </row>
    <row r="7">
      <c r="A7" s="130" t="n"/>
      <c r="B7" s="130" t="n"/>
      <c r="C7" s="130" t="n"/>
      <c r="D7" s="130" t="n"/>
      <c r="E7" s="130" t="n"/>
      <c r="F7" s="130" t="n"/>
      <c r="G7" s="130" t="n"/>
    </row>
    <row r="8" ht="30" customHeight="1" s="142">
      <c r="A8" s="190" t="inlineStr">
        <is>
          <t>№ пп.</t>
        </is>
      </c>
      <c r="B8" s="190" t="inlineStr">
        <is>
          <t>Код ресурса</t>
        </is>
      </c>
      <c r="C8" s="190" t="inlineStr">
        <is>
          <t>Наименование</t>
        </is>
      </c>
      <c r="D8" s="190" t="inlineStr">
        <is>
          <t>Ед. изм.</t>
        </is>
      </c>
      <c r="E8" s="169" t="inlineStr">
        <is>
          <t>Кол-во единиц по проектным данным</t>
        </is>
      </c>
      <c r="F8" s="190" t="inlineStr">
        <is>
          <t>Сметная стоимость в ценах на 01.01.2000 (руб.)</t>
        </is>
      </c>
      <c r="G8" s="208" t="n"/>
    </row>
    <row r="9">
      <c r="A9" s="210" t="n"/>
      <c r="B9" s="210" t="n"/>
      <c r="C9" s="210" t="n"/>
      <c r="D9" s="210" t="n"/>
      <c r="E9" s="210" t="n"/>
      <c r="F9" s="169" t="inlineStr">
        <is>
          <t>на ед. изм.</t>
        </is>
      </c>
      <c r="G9" s="169" t="inlineStr">
        <is>
          <t>общая</t>
        </is>
      </c>
    </row>
    <row r="10">
      <c r="A10" s="169" t="n">
        <v>1</v>
      </c>
      <c r="B10" s="169" t="n">
        <v>2</v>
      </c>
      <c r="C10" s="169" t="n">
        <v>3</v>
      </c>
      <c r="D10" s="169" t="n">
        <v>4</v>
      </c>
      <c r="E10" s="169" t="n">
        <v>5</v>
      </c>
      <c r="F10" s="169" t="n">
        <v>6</v>
      </c>
      <c r="G10" s="169" t="n">
        <v>7</v>
      </c>
    </row>
    <row r="11" ht="15" customHeight="1" s="142">
      <c r="A11" s="31" t="n"/>
      <c r="B11" s="174" t="inlineStr">
        <is>
          <t>ИНЖЕНЕРНОЕ ОБОРУДОВАНИЕ</t>
        </is>
      </c>
      <c r="C11" s="207" t="n"/>
      <c r="D11" s="207" t="n"/>
      <c r="E11" s="207" t="n"/>
      <c r="F11" s="207" t="n"/>
      <c r="G11" s="208" t="n"/>
    </row>
    <row r="12" ht="27" customHeight="1" s="142">
      <c r="A12" s="169" t="n"/>
      <c r="B12" s="183" t="n"/>
      <c r="C12" s="174" t="inlineStr">
        <is>
          <t>ИТОГО ИНЖЕНЕРНОЕ ОБОРУДОВАНИЕ</t>
        </is>
      </c>
      <c r="D12" s="183" t="n"/>
      <c r="E12" s="9" t="n"/>
      <c r="F12" s="176" t="n"/>
      <c r="G12" s="176" t="n">
        <v>0</v>
      </c>
    </row>
    <row r="13">
      <c r="A13" s="169" t="n"/>
      <c r="B13" s="174" t="inlineStr">
        <is>
          <t>ТЕХНОЛОГИЧЕСКОЕ ОБОРУДОВАНИЕ</t>
        </is>
      </c>
      <c r="C13" s="207" t="n"/>
      <c r="D13" s="207" t="n"/>
      <c r="E13" s="207" t="n"/>
      <c r="F13" s="207" t="n"/>
      <c r="G13" s="208" t="n"/>
    </row>
    <row r="14">
      <c r="A14" s="169" t="n">
        <v>1</v>
      </c>
      <c r="B14" s="101">
        <f>'Прил.5 Расчет СМР и ОБ'!B25</f>
        <v/>
      </c>
      <c r="C14" s="102">
        <f>'Прил.5 Расчет СМР и ОБ'!C25</f>
        <v/>
      </c>
      <c r="D14" s="101">
        <f>'Прил.5 Расчет СМР и ОБ'!D25</f>
        <v/>
      </c>
      <c r="E14" s="101">
        <f>'Прил.5 Расчет СМР и ОБ'!E25</f>
        <v/>
      </c>
      <c r="F14" s="87">
        <f>'Прил.5 Расчет СМР и ОБ'!F25</f>
        <v/>
      </c>
      <c r="G14" s="87">
        <f>ROUND(E14*F14,2)</f>
        <v/>
      </c>
    </row>
    <row r="15" ht="25.5" customHeight="1" s="142">
      <c r="A15" s="169" t="n"/>
      <c r="B15" s="13" t="n"/>
      <c r="C15" s="13" t="inlineStr">
        <is>
          <t>ИТОГО ТЕХНОЛОГИЧЕСКОЕ ОБОРУДОВАНИЕ</t>
        </is>
      </c>
      <c r="D15" s="13" t="n"/>
      <c r="E15" s="14" t="n"/>
      <c r="F15" s="176" t="n"/>
      <c r="G15" s="87">
        <f>SUM(G14:G14)</f>
        <v/>
      </c>
    </row>
    <row r="16" ht="19.5" customHeight="1" s="142">
      <c r="A16" s="169" t="n"/>
      <c r="B16" s="174" t="n"/>
      <c r="C16" s="174" t="inlineStr">
        <is>
          <t>Всего по разделу «Оборудование»</t>
        </is>
      </c>
      <c r="D16" s="174" t="n"/>
      <c r="E16" s="188" t="n"/>
      <c r="F16" s="176" t="n"/>
      <c r="G16" s="87">
        <f>G12+G15</f>
        <v/>
      </c>
    </row>
    <row r="17">
      <c r="A17" s="141" t="n"/>
      <c r="B17" s="136" t="n"/>
      <c r="C17" s="141" t="n"/>
      <c r="D17" s="141" t="n"/>
      <c r="E17" s="141" t="n"/>
      <c r="F17" s="141" t="n"/>
      <c r="G17" s="141" t="n"/>
    </row>
    <row r="18" s="142">
      <c r="A18" s="130" t="inlineStr">
        <is>
          <t>Составил ______________________        Е.А. Князева</t>
        </is>
      </c>
      <c r="B18" s="140" t="n"/>
      <c r="C18" s="140" t="n"/>
      <c r="D18" s="141" t="n"/>
      <c r="E18" s="141" t="n"/>
      <c r="F18" s="141" t="n"/>
      <c r="G18" s="141" t="n"/>
    </row>
    <row r="19" s="142">
      <c r="A19" s="139" t="inlineStr">
        <is>
          <t xml:space="preserve">                         (подпись, инициалы, фамилия)</t>
        </is>
      </c>
      <c r="B19" s="140" t="n"/>
      <c r="C19" s="140" t="n"/>
      <c r="D19" s="141" t="n"/>
      <c r="E19" s="141" t="n"/>
      <c r="F19" s="141" t="n"/>
      <c r="G19" s="141" t="n"/>
    </row>
    <row r="20" s="142">
      <c r="A20" s="130" t="n"/>
      <c r="B20" s="140" t="n"/>
      <c r="C20" s="140" t="n"/>
      <c r="D20" s="141" t="n"/>
      <c r="E20" s="141" t="n"/>
      <c r="F20" s="141" t="n"/>
      <c r="G20" s="141" t="n"/>
    </row>
    <row r="21" s="142">
      <c r="A21" s="130" t="inlineStr">
        <is>
          <t>Проверил ______________________        А.В. Костянецкая</t>
        </is>
      </c>
      <c r="B21" s="140" t="n"/>
      <c r="C21" s="140" t="n"/>
      <c r="D21" s="141" t="n"/>
      <c r="E21" s="141" t="n"/>
      <c r="F21" s="141" t="n"/>
      <c r="G21" s="141" t="n"/>
    </row>
    <row r="22" s="142">
      <c r="A22" s="139" t="inlineStr">
        <is>
          <t xml:space="preserve">                        (подпись, инициалы, фамилия)</t>
        </is>
      </c>
      <c r="B22" s="140" t="n"/>
      <c r="C22" s="140" t="n"/>
      <c r="D22" s="141" t="n"/>
      <c r="E22" s="141" t="n"/>
      <c r="F22" s="141" t="n"/>
      <c r="G22" s="141" t="n"/>
    </row>
  </sheetData>
  <mergeCells count="11">
    <mergeCell ref="A8:A9"/>
    <mergeCell ref="A1:G1"/>
    <mergeCell ref="E8:E9"/>
    <mergeCell ref="C8:C9"/>
    <mergeCell ref="B11:G11"/>
    <mergeCell ref="A6:G6"/>
    <mergeCell ref="D8:D9"/>
    <mergeCell ref="B8:B9"/>
    <mergeCell ref="B13:G13"/>
    <mergeCell ref="A5:G5"/>
    <mergeCell ref="F8:G8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view="pageBreakPreview" workbookViewId="0">
      <selection activeCell="B15" sqref="B15"/>
    </sheetView>
  </sheetViews>
  <sheetFormatPr baseColWidth="8" defaultColWidth="8.85546875" defaultRowHeight="15"/>
  <cols>
    <col width="14.42578125" customWidth="1" style="142" min="1" max="1"/>
    <col width="29.7109375" customWidth="1" style="142" min="2" max="2"/>
    <col width="39.140625" customWidth="1" style="142" min="3" max="3"/>
    <col width="24.5703125" customWidth="1" style="142" min="4" max="4"/>
    <col width="8.85546875" customWidth="1" style="142" min="5" max="5"/>
  </cols>
  <sheetData>
    <row r="1">
      <c r="B1" s="130" t="n"/>
      <c r="C1" s="130" t="n"/>
      <c r="D1" s="189" t="inlineStr">
        <is>
          <t>Приложение №7</t>
        </is>
      </c>
    </row>
    <row r="2">
      <c r="A2" s="189" t="n"/>
      <c r="B2" s="189" t="n"/>
      <c r="C2" s="189" t="n"/>
      <c r="D2" s="189" t="n"/>
    </row>
    <row r="3" ht="24.75" customHeight="1" s="142">
      <c r="A3" s="166" t="inlineStr">
        <is>
          <t>Расчет показателя УНЦ</t>
        </is>
      </c>
    </row>
    <row r="4" ht="24.75" customHeight="1" s="142">
      <c r="A4" s="166" t="n"/>
      <c r="B4" s="166" t="n"/>
      <c r="C4" s="166" t="n"/>
      <c r="D4" s="166" t="n"/>
    </row>
    <row r="5" ht="24.6" customHeight="1" s="142">
      <c r="A5" s="182" t="inlineStr">
        <is>
          <t xml:space="preserve">Наименование разрабатываемого показателя УНЦ - </t>
        </is>
      </c>
      <c r="D5" s="182">
        <f>'Прил.5 Расчет СМР и ОБ'!D6:J6</f>
        <v/>
      </c>
    </row>
    <row r="6" ht="19.9" customHeight="1" s="142">
      <c r="A6" s="182" t="inlineStr">
        <is>
          <t>Единица измерения  — 1 ед</t>
        </is>
      </c>
      <c r="D6" s="182" t="n"/>
    </row>
    <row r="7">
      <c r="A7" s="130" t="n"/>
      <c r="B7" s="130" t="n"/>
      <c r="C7" s="130" t="n"/>
      <c r="D7" s="130" t="n"/>
    </row>
    <row r="8" ht="14.45" customHeight="1" s="142">
      <c r="A8" s="162" t="inlineStr">
        <is>
          <t>Код показателя</t>
        </is>
      </c>
      <c r="B8" s="162" t="inlineStr">
        <is>
          <t>Наименование показателя</t>
        </is>
      </c>
      <c r="C8" s="162" t="inlineStr">
        <is>
          <t>Наименование РМ, входящих в состав показателя</t>
        </is>
      </c>
      <c r="D8" s="162" t="inlineStr">
        <is>
          <t>Норматив цены на 01.01.2023, тыс.руб.</t>
        </is>
      </c>
    </row>
    <row r="9" ht="15" customHeight="1" s="142">
      <c r="A9" s="210" t="n"/>
      <c r="B9" s="210" t="n"/>
      <c r="C9" s="210" t="n"/>
      <c r="D9" s="210" t="n"/>
    </row>
    <row r="10">
      <c r="A10" s="169" t="n">
        <v>1</v>
      </c>
      <c r="B10" s="169" t="n">
        <v>2</v>
      </c>
      <c r="C10" s="169" t="n">
        <v>3</v>
      </c>
      <c r="D10" s="169" t="n">
        <v>4</v>
      </c>
    </row>
    <row r="11" ht="41.45" customHeight="1" s="142">
      <c r="A11" s="169" t="inlineStr">
        <is>
          <t>Л11-04</t>
        </is>
      </c>
      <c r="B11" s="169" t="inlineStr">
        <is>
          <t xml:space="preserve">УНЦ арматуры, крепления, защиты от перенапряжений ВЛ 0,4-35 кВ </t>
        </is>
      </c>
      <c r="C11" s="132">
        <f>D5</f>
        <v/>
      </c>
      <c r="D11" s="133">
        <f>'Прил.4 РМ'!C41/1000</f>
        <v/>
      </c>
      <c r="E11" s="134" t="n"/>
    </row>
    <row r="12">
      <c r="A12" s="141" t="n"/>
      <c r="B12" s="136" t="n"/>
      <c r="C12" s="141" t="n"/>
      <c r="D12" s="141" t="n"/>
    </row>
    <row r="13">
      <c r="A13" s="130" t="inlineStr">
        <is>
          <t>Составил ______________________      Е.А. Князева</t>
        </is>
      </c>
      <c r="B13" s="140" t="n"/>
      <c r="C13" s="140" t="n"/>
      <c r="D13" s="141" t="n"/>
    </row>
    <row r="14">
      <c r="A14" s="139" t="inlineStr">
        <is>
          <t xml:space="preserve">                         (подпись, инициалы, фамилия)</t>
        </is>
      </c>
      <c r="B14" s="140" t="n"/>
      <c r="C14" s="140" t="n"/>
      <c r="D14" s="141" t="n"/>
    </row>
    <row r="15">
      <c r="A15" s="130" t="n"/>
      <c r="B15" s="140" t="n"/>
      <c r="C15" s="140" t="n"/>
      <c r="D15" s="141" t="n"/>
    </row>
    <row r="16">
      <c r="A16" s="130" t="inlineStr">
        <is>
          <t>Проверил ______________________        А.В. Костянецкая</t>
        </is>
      </c>
      <c r="B16" s="140" t="n"/>
      <c r="C16" s="140" t="n"/>
      <c r="D16" s="141" t="n"/>
    </row>
    <row r="17">
      <c r="A17" s="139" t="inlineStr">
        <is>
          <t xml:space="preserve">                        (подпись, инициалы, фамилия)</t>
        </is>
      </c>
      <c r="B17" s="140" t="n"/>
      <c r="C17" s="140" t="n"/>
      <c r="D17" s="141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7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4:E30"/>
  <sheetViews>
    <sheetView view="pageBreakPreview" zoomScale="60" zoomScaleNormal="100" workbookViewId="0">
      <selection activeCell="C21" sqref="C21"/>
    </sheetView>
  </sheetViews>
  <sheetFormatPr baseColWidth="8" defaultRowHeight="15"/>
  <cols>
    <col width="40.7109375" customWidth="1" style="142" min="2" max="2"/>
    <col width="37" customWidth="1" style="142" min="3" max="3"/>
    <col width="32" customWidth="1" style="142" min="4" max="4"/>
  </cols>
  <sheetData>
    <row r="4" ht="15.75" customHeight="1" s="142">
      <c r="B4" s="155" t="inlineStr">
        <is>
          <t>Приложение № 10</t>
        </is>
      </c>
    </row>
    <row r="5" ht="18.75" customHeight="1" s="142">
      <c r="B5" s="22" t="n"/>
    </row>
    <row r="6" ht="15.75" customHeight="1" s="142">
      <c r="B6" s="156" t="inlineStr">
        <is>
          <t>Используемые индексы изменений сметной стоимости и нормы сопутствующих затрат</t>
        </is>
      </c>
    </row>
    <row r="7">
      <c r="B7" s="192" t="n"/>
    </row>
    <row r="8" ht="47.25" customHeight="1" s="142">
      <c r="B8" s="162" t="inlineStr">
        <is>
          <t>Наименование индекса / норм сопутствующих затрат</t>
        </is>
      </c>
      <c r="C8" s="162" t="inlineStr">
        <is>
          <t>Дата применения и обоснование индекса / норм сопутствующих затрат</t>
        </is>
      </c>
      <c r="D8" s="162" t="inlineStr">
        <is>
          <t>Размер индекса / норма сопутствующих затрат</t>
        </is>
      </c>
    </row>
    <row r="9" ht="15.75" customHeight="1" s="142">
      <c r="B9" s="162" t="n">
        <v>1</v>
      </c>
      <c r="C9" s="162" t="n">
        <v>2</v>
      </c>
      <c r="D9" s="162" t="n">
        <v>3</v>
      </c>
    </row>
    <row r="10" ht="31.5" customHeight="1" s="142">
      <c r="B10" s="162" t="inlineStr">
        <is>
          <t xml:space="preserve">Индекс изменения сметной стоимости на 1 квартал 2023 года. ОЗП </t>
        </is>
      </c>
      <c r="C10" s="162" t="inlineStr">
        <is>
          <t>Письмо Минстроя России от 30.03.2023г. №17106-ИФ/09  прил.1</t>
        </is>
      </c>
      <c r="D10" s="162" t="n">
        <v>44.29</v>
      </c>
    </row>
    <row r="11" ht="31.5" customHeight="1" s="142">
      <c r="B11" s="162" t="inlineStr">
        <is>
          <t>Индекс изменения сметной стоимости на 1 квартал 2023 года. ЭМ</t>
        </is>
      </c>
      <c r="C11" s="162" t="inlineStr">
        <is>
          <t>Письмо Минстроя России от 30.03.2023г. №17106-ИФ/09  прил.1</t>
        </is>
      </c>
      <c r="D11" s="162" t="n">
        <v>11.72</v>
      </c>
    </row>
    <row r="12" ht="31.5" customHeight="1" s="142">
      <c r="B12" s="162" t="inlineStr">
        <is>
          <t>Индекс изменения сметной стоимости на 1 квартал 2023 года. МАТ</t>
        </is>
      </c>
      <c r="C12" s="162" t="inlineStr">
        <is>
          <t>Письмо Минстроя России от 30.03.2023г. №17106-ИФ/09  прил.1</t>
        </is>
      </c>
      <c r="D12" s="162" t="n">
        <v>7.74</v>
      </c>
    </row>
    <row r="13" ht="31.5" customHeight="1" s="142">
      <c r="B13" s="162" t="inlineStr">
        <is>
          <t>Индекс изменения сметной стоимости на 1 квартал 2023 года. ОБ</t>
        </is>
      </c>
      <c r="C13" s="118" t="inlineStr">
        <is>
          <t>Письмо Минстроя России от 23.02.2023г. №9791-ИФ/09 прил.6</t>
        </is>
      </c>
      <c r="D13" s="162" t="n">
        <v>6.26</v>
      </c>
    </row>
    <row r="14" ht="78.75" customHeight="1" s="142">
      <c r="B14" s="162" t="inlineStr">
        <is>
          <t>Временные здания и сооружения</t>
        </is>
      </c>
      <c r="C14" s="162" t="inlineStr">
        <is>
          <t xml:space="preserve">п.23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29" t="n">
        <v>0.025</v>
      </c>
    </row>
    <row r="15" ht="78.75" customHeight="1" s="142">
      <c r="B15" s="162" t="inlineStr">
        <is>
          <t>Дополнительные затраты при производстве строительно-монтажных работ в зимнее время</t>
        </is>
      </c>
      <c r="C15" s="162" t="inlineStr">
        <is>
          <t xml:space="preserve">п.50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9" t="n">
        <v>0.019</v>
      </c>
    </row>
    <row r="16" ht="15.75" customHeight="1" s="142">
      <c r="B16" s="162" t="inlineStr">
        <is>
          <t xml:space="preserve">Пусконаладочные работы </t>
        </is>
      </c>
      <c r="C16" s="162" t="n"/>
      <c r="D16" s="162" t="n"/>
    </row>
    <row r="17" ht="31.5" customHeight="1" s="142">
      <c r="B17" s="162" t="inlineStr">
        <is>
          <t>Строительный контроль</t>
        </is>
      </c>
      <c r="C17" s="162" t="inlineStr">
        <is>
          <t>Постановление Правительства РФ от 21.06.10 г. № 468</t>
        </is>
      </c>
      <c r="D17" s="29" t="n">
        <v>0.0214</v>
      </c>
    </row>
    <row r="18" ht="31.5" customHeight="1" s="142">
      <c r="B18" s="162" t="inlineStr">
        <is>
          <t>Авторский надзор - 0,2%</t>
        </is>
      </c>
      <c r="C18" s="162" t="inlineStr">
        <is>
          <t>Приказ от 4.08.2020 № 421/пр п.173</t>
        </is>
      </c>
      <c r="D18" s="29" t="n">
        <v>0.002</v>
      </c>
    </row>
    <row r="19" ht="24" customHeight="1" s="142">
      <c r="B19" s="162" t="inlineStr">
        <is>
          <t>Непредвиденные расходы</t>
        </is>
      </c>
      <c r="C19" s="162" t="inlineStr">
        <is>
          <t>Приказ от 4.08.2020 № 421/пр п.179</t>
        </is>
      </c>
      <c r="D19" s="29" t="n">
        <v>0.03</v>
      </c>
    </row>
    <row r="20" ht="18.75" customHeight="1" s="142">
      <c r="B20" s="23" t="n"/>
    </row>
    <row r="21" ht="18.75" customHeight="1" s="142">
      <c r="B21" s="23" t="n"/>
    </row>
    <row r="22" ht="18.75" customHeight="1" s="142">
      <c r="B22" s="23" t="n"/>
    </row>
    <row r="23" ht="18.75" customHeight="1" s="142">
      <c r="B23" s="23" t="n"/>
    </row>
    <row r="26">
      <c r="B26" s="130" t="inlineStr">
        <is>
          <t>Составил ______________________        Е.А. Князева</t>
        </is>
      </c>
      <c r="C26" s="140" t="n"/>
    </row>
    <row r="27">
      <c r="B27" s="139" t="inlineStr">
        <is>
          <t xml:space="preserve">                         (подпись, инициалы, фамилия)</t>
        </is>
      </c>
      <c r="C27" s="140" t="n"/>
    </row>
    <row r="28">
      <c r="B28" s="130" t="n"/>
      <c r="C28" s="140" t="n"/>
    </row>
    <row r="29">
      <c r="B29" s="130" t="inlineStr">
        <is>
          <t>Проверил ______________________        А.В. Костянецкая</t>
        </is>
      </c>
      <c r="C29" s="140" t="n"/>
    </row>
    <row r="30">
      <c r="B30" s="139" t="inlineStr">
        <is>
          <t xml:space="preserve">                        (подпись, инициалы, фамилия)</t>
        </is>
      </c>
      <c r="C30" s="140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scale="7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G13"/>
  <sheetViews>
    <sheetView tabSelected="1" view="pageBreakPreview" zoomScale="130" zoomScaleNormal="100" zoomScaleSheetLayoutView="130" workbookViewId="0">
      <selection activeCell="E11" sqref="E11"/>
    </sheetView>
  </sheetViews>
  <sheetFormatPr baseColWidth="8" defaultColWidth="9.140625" defaultRowHeight="15"/>
  <cols>
    <col width="44.85546875" customWidth="1" style="142" min="2" max="2"/>
    <col width="13" customWidth="1" style="142" min="3" max="3"/>
    <col width="22.85546875" customWidth="1" style="142" min="4" max="4"/>
    <col width="21.5703125" customWidth="1" style="142" min="5" max="5"/>
    <col width="43.85546875" customWidth="1" style="142" min="6" max="6"/>
  </cols>
  <sheetData>
    <row r="1" s="142"/>
    <row r="2" ht="17.25" customHeight="1" s="142">
      <c r="A2" s="156" t="inlineStr">
        <is>
          <t>Расчет размера средств на оплату труда рабочих-строителей в текущем уровне цен (ФОТр.тек.)</t>
        </is>
      </c>
    </row>
    <row r="3" s="142"/>
    <row r="4" ht="18" customHeight="1" s="142">
      <c r="A4" s="143" t="inlineStr">
        <is>
          <t>Составлен в уровне цен на 01.01.2023 г.</t>
        </is>
      </c>
      <c r="B4" s="144" t="n"/>
      <c r="C4" s="144" t="n"/>
      <c r="D4" s="144" t="n"/>
      <c r="E4" s="144" t="n"/>
      <c r="F4" s="144" t="n"/>
      <c r="G4" s="144" t="n"/>
    </row>
    <row r="5" ht="15.75" customHeight="1" s="142">
      <c r="A5" s="193" t="inlineStr">
        <is>
          <t>№ пп.</t>
        </is>
      </c>
      <c r="B5" s="193" t="inlineStr">
        <is>
          <t>Наименование элемента</t>
        </is>
      </c>
      <c r="C5" s="193" t="inlineStr">
        <is>
          <t>Обозначение</t>
        </is>
      </c>
      <c r="D5" s="193" t="inlineStr">
        <is>
          <t>Формула</t>
        </is>
      </c>
      <c r="E5" s="193" t="inlineStr">
        <is>
          <t>Величина элемента</t>
        </is>
      </c>
      <c r="F5" s="193" t="inlineStr">
        <is>
          <t>Наименования обосновывающих документов</t>
        </is>
      </c>
      <c r="G5" s="144" t="n"/>
    </row>
    <row r="6" ht="15.75" customHeight="1" s="142">
      <c r="A6" s="193" t="n">
        <v>1</v>
      </c>
      <c r="B6" s="193" t="n">
        <v>2</v>
      </c>
      <c r="C6" s="193" t="n">
        <v>3</v>
      </c>
      <c r="D6" s="193" t="n">
        <v>4</v>
      </c>
      <c r="E6" s="193" t="n">
        <v>5</v>
      </c>
      <c r="F6" s="193" t="n">
        <v>6</v>
      </c>
      <c r="G6" s="144" t="n"/>
    </row>
    <row r="7" ht="110.25" customHeight="1" s="142">
      <c r="A7" s="194" t="inlineStr">
        <is>
          <t>1.1</t>
        </is>
      </c>
      <c r="B7" s="195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96" t="inlineStr">
        <is>
          <t>С1ср</t>
        </is>
      </c>
      <c r="D7" s="196" t="inlineStr">
        <is>
          <t>-</t>
        </is>
      </c>
      <c r="E7" s="197" t="n">
        <v>47872.94</v>
      </c>
      <c r="F7" s="195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4" t="n"/>
    </row>
    <row r="8" ht="31.5" customHeight="1" s="142">
      <c r="A8" s="194" t="inlineStr">
        <is>
          <t>1.2</t>
        </is>
      </c>
      <c r="B8" s="195" t="inlineStr">
        <is>
          <t>Среднегодовое нормативное число часов работы одного рабочего в месяц, часы (ч.)</t>
        </is>
      </c>
      <c r="C8" s="196" t="inlineStr">
        <is>
          <t>tср</t>
        </is>
      </c>
      <c r="D8" s="196" t="inlineStr">
        <is>
          <t>1973ч/12мес.</t>
        </is>
      </c>
      <c r="E8" s="198">
        <f>1973/12</f>
        <v/>
      </c>
      <c r="F8" s="195" t="inlineStr">
        <is>
          <t>Производственный календарь 2023 год
(40-часов.неделя)</t>
        </is>
      </c>
      <c r="G8" s="146" t="n"/>
    </row>
    <row r="9" ht="15.75" customHeight="1" s="142">
      <c r="A9" s="194" t="inlineStr">
        <is>
          <t>1.3</t>
        </is>
      </c>
      <c r="B9" s="195" t="inlineStr">
        <is>
          <t>Коэффициент увеличения</t>
        </is>
      </c>
      <c r="C9" s="196" t="inlineStr">
        <is>
          <t>Кув</t>
        </is>
      </c>
      <c r="D9" s="196" t="inlineStr">
        <is>
          <t>-</t>
        </is>
      </c>
      <c r="E9" s="198" t="n">
        <v>1</v>
      </c>
      <c r="F9" s="195" t="n"/>
      <c r="G9" s="146" t="n"/>
    </row>
    <row r="10" ht="15.75" customHeight="1" s="142">
      <c r="A10" s="194" t="inlineStr">
        <is>
          <t>1.4</t>
        </is>
      </c>
      <c r="B10" s="195" t="inlineStr">
        <is>
          <t>Средний разряд работ</t>
        </is>
      </c>
      <c r="C10" s="196" t="n"/>
      <c r="D10" s="196" t="n"/>
      <c r="E10" s="224" t="n">
        <v>4</v>
      </c>
      <c r="F10" s="195" t="inlineStr">
        <is>
          <t>РТМ</t>
        </is>
      </c>
      <c r="G10" s="146" t="n"/>
    </row>
    <row r="11" ht="78.75" customHeight="1" s="142">
      <c r="A11" s="194" t="inlineStr">
        <is>
          <t>1.5</t>
        </is>
      </c>
      <c r="B11" s="195" t="inlineStr">
        <is>
          <t>Тарифный коэффициент среднего разряда работ</t>
        </is>
      </c>
      <c r="C11" s="196" t="inlineStr">
        <is>
          <t>КТ</t>
        </is>
      </c>
      <c r="D11" s="196" t="inlineStr">
        <is>
          <t>-</t>
        </is>
      </c>
      <c r="E11" s="225" t="n">
        <v>1.34</v>
      </c>
      <c r="F11" s="195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4" t="n"/>
    </row>
    <row r="12" ht="78.75" customHeight="1" s="142">
      <c r="A12" s="194" t="inlineStr">
        <is>
          <t>1.6</t>
        </is>
      </c>
      <c r="B12" s="201" t="inlineStr">
        <is>
          <t>Коэффициент инфляции, определяемый поквартально</t>
        </is>
      </c>
      <c r="C12" s="196" t="inlineStr">
        <is>
          <t>Кинф</t>
        </is>
      </c>
      <c r="D12" s="196" t="inlineStr">
        <is>
          <t>-</t>
        </is>
      </c>
      <c r="E12" s="226" t="n">
        <v>1.139</v>
      </c>
      <c r="F12" s="203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46" t="n"/>
    </row>
    <row r="13" ht="63" customHeight="1" s="142">
      <c r="A13" s="194" t="inlineStr">
        <is>
          <t>1.7</t>
        </is>
      </c>
      <c r="B13" s="204" t="inlineStr">
        <is>
          <t>Размер средств на оплату труда рабочих-строителей в текущем уровне цен (ФОТр.тек.), руб/чел.-ч</t>
        </is>
      </c>
      <c r="C13" s="196" t="inlineStr">
        <is>
          <t>ФОТр.тек.</t>
        </is>
      </c>
      <c r="D13" s="196" t="inlineStr">
        <is>
          <t>(С1ср/tср*КТ*Т*Кув)*Кинф</t>
        </is>
      </c>
      <c r="E13" s="205">
        <f>((E7*E9/E8)*E11)*E12</f>
        <v/>
      </c>
      <c r="F13" s="195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4" t="n"/>
    </row>
  </sheetData>
  <mergeCells count="1">
    <mergeCell ref="A2:F2"/>
  </mergeCells>
  <pageMargins left="0.7" right="0.7" top="0.75" bottom="0.75" header="0.3" footer="0.3"/>
  <pageSetup orientation="portrait" scale="58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2025-01-24T12:09:50Z</dcterms:modified>
  <cp:lastModifiedBy>Nikolay Ivanov</cp:lastModifiedBy>
  <cp:lastPrinted>2023-12-01T18:06:21Z</cp:lastPrinted>
</cp:coreProperties>
</file>