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F32" sqref="F32"/>
    </sheetView>
  </sheetViews>
  <sheetFormatPr baseColWidth="8" defaultColWidth="9.109375" defaultRowHeight="15.6"/>
  <cols>
    <col width="9.109375" customWidth="1" style="307" min="1" max="2"/>
    <col width="51.6640625" customWidth="1" style="307" min="3" max="3"/>
    <col width="47" customWidth="1" style="307" min="4" max="4"/>
    <col width="37.44140625" customWidth="1" style="307" min="5" max="5"/>
    <col width="9.109375" customWidth="1" style="307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" customHeight="1" s="304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69" t="n"/>
      <c r="C6" s="269" t="n"/>
      <c r="D6" s="269" t="n"/>
    </row>
    <row r="7" ht="64.5" customHeight="1" s="304">
      <c r="B7" s="326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8" ht="31.5" customHeight="1" s="304">
      <c r="B8" s="327" t="inlineStr">
        <is>
          <t>Сопоставимый уровень цен:3 кв. 2018 г</t>
        </is>
      </c>
    </row>
    <row r="9" ht="15.75" customHeight="1" s="304">
      <c r="B9" s="327" t="inlineStr">
        <is>
          <t>Единица измерения  — 1 тн опор</t>
        </is>
      </c>
    </row>
    <row r="10">
      <c r="B10" s="327" t="n"/>
    </row>
    <row r="1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 xml:space="preserve">Объект-представитель </t>
        </is>
      </c>
      <c r="E11" s="245" t="n"/>
    </row>
    <row r="12">
      <c r="B12" s="331" t="n">
        <v>1</v>
      </c>
      <c r="C12" s="240" t="inlineStr">
        <is>
          <t>Наименование объекта-представителя</t>
        </is>
      </c>
      <c r="D12" s="301" t="inlineStr">
        <is>
          <t xml:space="preserve">ВЛ 10 ПС 35 Н.Хуторное </t>
        </is>
      </c>
    </row>
    <row r="13">
      <c r="B13" s="331" t="n">
        <v>2</v>
      </c>
      <c r="C13" s="240" t="inlineStr">
        <is>
          <t>Наименование субъекта Российской Федерации</t>
        </is>
      </c>
      <c r="D13" s="301" t="inlineStr">
        <is>
          <t>Белгородская область</t>
        </is>
      </c>
    </row>
    <row r="14">
      <c r="B14" s="331" t="n">
        <v>3</v>
      </c>
      <c r="C14" s="240" t="inlineStr">
        <is>
          <t>Климатический район и подрайон</t>
        </is>
      </c>
      <c r="D14" s="302" t="inlineStr">
        <is>
          <t>IIВ</t>
        </is>
      </c>
    </row>
    <row r="15">
      <c r="B15" s="331" t="n">
        <v>4</v>
      </c>
      <c r="C15" s="240" t="inlineStr">
        <is>
          <t>Мощность объекта</t>
        </is>
      </c>
      <c r="D15" s="301" t="n">
        <v>45</v>
      </c>
    </row>
    <row r="16" ht="62.4" customHeight="1" s="304">
      <c r="B16" s="33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1" t="inlineStr">
        <is>
          <t>Разрядник длинно-искровой петлевого типа РДИП-10-4 УХЛ1 23 шт.
Зажим оперативный ответвительный марки SL 30 - 30 шт.</t>
        </is>
      </c>
    </row>
    <row r="17" ht="62.4" customHeight="1" s="304">
      <c r="B17" s="33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4">
        <f>SUM(D18:D21)</f>
        <v/>
      </c>
      <c r="E17" s="268" t="n"/>
    </row>
    <row r="18">
      <c r="B18" s="244" t="inlineStr">
        <is>
          <t>6.1</t>
        </is>
      </c>
      <c r="C18" s="240" t="inlineStr">
        <is>
          <t>строительно-монтажные работы</t>
        </is>
      </c>
      <c r="D18" s="254">
        <f>'Прил.2 Расч стоим'!F14</f>
        <v/>
      </c>
    </row>
    <row r="19" ht="15.75" customHeight="1" s="304">
      <c r="B19" s="244" t="inlineStr">
        <is>
          <t>6.2</t>
        </is>
      </c>
      <c r="C19" s="240" t="inlineStr">
        <is>
          <t>оборудование и инвентарь</t>
        </is>
      </c>
      <c r="D19" s="254" t="n"/>
    </row>
    <row r="20" ht="16.5" customHeight="1" s="304">
      <c r="B20" s="244" t="inlineStr">
        <is>
          <t>6.3</t>
        </is>
      </c>
      <c r="C20" s="240" t="inlineStr">
        <is>
          <t>пусконаладочные работы</t>
        </is>
      </c>
      <c r="D20" s="254" t="n"/>
    </row>
    <row r="21">
      <c r="B21" s="244" t="inlineStr">
        <is>
          <t>6.4</t>
        </is>
      </c>
      <c r="C21" s="243" t="inlineStr">
        <is>
          <t>прочие и лимитированные затраты</t>
        </is>
      </c>
      <c r="D21" s="254" t="n"/>
    </row>
    <row r="22">
      <c r="B22" s="331" t="n">
        <v>7</v>
      </c>
      <c r="C22" s="243" t="inlineStr">
        <is>
          <t>Сопоставимый уровень цен</t>
        </is>
      </c>
      <c r="D22" s="293" t="inlineStr">
        <is>
          <t>3 кв. 2018 г</t>
        </is>
      </c>
      <c r="E22" s="241" t="n"/>
    </row>
    <row r="23" ht="78" customHeight="1" s="304">
      <c r="B23" s="331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4">
        <f>D17</f>
        <v/>
      </c>
      <c r="E23" s="268" t="n"/>
    </row>
    <row r="24" ht="31.2" customHeight="1" s="304">
      <c r="B24" s="33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4">
        <f>D23/D15</f>
        <v/>
      </c>
      <c r="E24" s="241" t="n"/>
    </row>
    <row r="25">
      <c r="B25" s="331" t="n">
        <v>10</v>
      </c>
      <c r="C25" s="240" t="inlineStr">
        <is>
          <t>Примечание</t>
        </is>
      </c>
      <c r="D25" s="331" t="n"/>
    </row>
    <row r="26">
      <c r="B26" s="239" t="n"/>
      <c r="C26" s="238" t="n"/>
      <c r="D26" s="238" t="n"/>
    </row>
    <row r="27" ht="37.5" customHeight="1" s="304">
      <c r="B27" s="298" t="n"/>
    </row>
    <row r="28">
      <c r="B28" s="307" t="inlineStr">
        <is>
          <t>Составил ______________________    Е. М. Добровольская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07" min="1" max="1"/>
    <col width="9.109375" customWidth="1" style="307" min="2" max="2"/>
    <col width="35.33203125" customWidth="1" style="307" min="3" max="3"/>
    <col width="13.88671875" customWidth="1" style="307" min="4" max="4"/>
    <col width="24.88671875" customWidth="1" style="307" min="5" max="5"/>
    <col width="15.5546875" customWidth="1" style="307" min="6" max="6"/>
    <col width="14.88671875" customWidth="1" style="307" min="7" max="7"/>
    <col width="16.6640625" customWidth="1" style="307" min="8" max="8"/>
    <col width="13" customWidth="1" style="307" min="9" max="10"/>
    <col width="18" customWidth="1" style="307" min="11" max="11"/>
    <col width="9.109375" customWidth="1" style="307" min="12" max="12"/>
  </cols>
  <sheetData>
    <row r="3">
      <c r="B3" s="324" t="inlineStr">
        <is>
          <t>Приложение № 2</t>
        </is>
      </c>
      <c r="K3" s="298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 ht="29.25" customHeight="1" s="304">
      <c r="B6" s="333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  <c r="K6" s="298" t="n"/>
    </row>
    <row r="7" ht="15.75" customHeight="1" s="304">
      <c r="B7" s="334" t="inlineStr">
        <is>
          <t>Единица измерения  — 1 тн опор</t>
        </is>
      </c>
      <c r="K7" s="298" t="n"/>
    </row>
    <row r="8" ht="18.75" customHeight="1" s="304">
      <c r="B8" s="270" t="n"/>
    </row>
    <row r="9" ht="15.75" customHeight="1" s="304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23" t="n"/>
      <c r="F9" s="423" t="n"/>
      <c r="G9" s="423" t="n"/>
      <c r="H9" s="423" t="n"/>
      <c r="I9" s="423" t="n"/>
      <c r="J9" s="424" t="n"/>
    </row>
    <row r="10" ht="15.75" customHeight="1" s="304">
      <c r="B10" s="425" t="n"/>
      <c r="C10" s="425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3 кв. 2018 г., тыс. руб.</t>
        </is>
      </c>
      <c r="G10" s="423" t="n"/>
      <c r="H10" s="423" t="n"/>
      <c r="I10" s="423" t="n"/>
      <c r="J10" s="424" t="n"/>
    </row>
    <row r="11" ht="31.5" customHeight="1" s="304">
      <c r="B11" s="426" t="n"/>
      <c r="C11" s="426" t="n"/>
      <c r="D11" s="426" t="n"/>
      <c r="E11" s="426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" customHeight="1" s="304">
      <c r="B12" s="315" t="n"/>
      <c r="C12" s="315" t="n"/>
      <c r="D12" s="315" t="n"/>
      <c r="E12" s="315" t="n"/>
      <c r="F12" s="427" t="n">
        <v>609.7985172</v>
      </c>
      <c r="G12" s="424" t="n"/>
      <c r="H12" s="315" t="n"/>
      <c r="I12" s="315" t="n"/>
      <c r="J12" s="315" t="n"/>
    </row>
    <row r="13" ht="15.75" customHeight="1" s="304">
      <c r="B13" s="329" t="inlineStr">
        <is>
          <t>Всего по объекту:</t>
        </is>
      </c>
      <c r="C13" s="428" t="n"/>
      <c r="D13" s="428" t="n"/>
      <c r="E13" s="429" t="n"/>
      <c r="F13" s="316" t="n"/>
      <c r="G13" s="316" t="n"/>
      <c r="H13" s="316" t="n"/>
      <c r="I13" s="316" t="n"/>
      <c r="J13" s="316" t="n"/>
    </row>
    <row r="14" ht="15.75" customHeight="1" s="304">
      <c r="B14" s="330" t="inlineStr">
        <is>
          <t>Всего по объекту в сопоставимом уровне цен 3 кв. 2018 г:</t>
        </is>
      </c>
      <c r="C14" s="423" t="n"/>
      <c r="D14" s="423" t="n"/>
      <c r="E14" s="424" t="n"/>
      <c r="F14" s="430" t="n">
        <v>609.7985172</v>
      </c>
      <c r="G14" s="424" t="n"/>
      <c r="H14" s="271" t="n"/>
      <c r="I14" s="271" t="n"/>
      <c r="J14" s="271" t="n"/>
    </row>
    <row r="15" ht="15" customHeight="1" s="304"/>
    <row r="16" ht="15" customHeight="1" s="304"/>
    <row r="17" ht="15" customHeight="1" s="304"/>
    <row r="18" ht="15" customHeight="1" s="304">
      <c r="C18" s="311" t="inlineStr">
        <is>
          <t>Составил ______________________     Е. М. Добровольская</t>
        </is>
      </c>
      <c r="D18" s="312" t="n"/>
      <c r="E18" s="312" t="n"/>
    </row>
    <row r="19" ht="15" customHeight="1" s="304">
      <c r="C19" s="314" t="inlineStr">
        <is>
          <t xml:space="preserve">                         (подпись, инициалы, фамилия)</t>
        </is>
      </c>
      <c r="D19" s="312" t="n"/>
      <c r="E19" s="312" t="n"/>
    </row>
    <row r="20" ht="15" customHeight="1" s="304">
      <c r="C20" s="311" t="n"/>
      <c r="D20" s="312" t="n"/>
      <c r="E20" s="312" t="n"/>
    </row>
    <row r="21" ht="15" customHeight="1" s="304">
      <c r="C21" s="311" t="inlineStr">
        <is>
          <t>Проверил ______________________        А.В. Костянецкая</t>
        </is>
      </c>
      <c r="D21" s="312" t="n"/>
      <c r="E21" s="312" t="n"/>
    </row>
    <row r="22" ht="15" customHeight="1" s="304">
      <c r="C22" s="314" t="inlineStr">
        <is>
          <t xml:space="preserve">                        (подпись, инициалы, фамилия)</t>
        </is>
      </c>
      <c r="D22" s="312" t="n"/>
      <c r="E22" s="312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77"/>
  <sheetViews>
    <sheetView view="pageBreakPreview" topLeftCell="A49" zoomScale="85" workbookViewId="0">
      <selection activeCell="E76" sqref="E76"/>
    </sheetView>
  </sheetViews>
  <sheetFormatPr baseColWidth="8" defaultColWidth="9.109375" defaultRowHeight="15.6"/>
  <cols>
    <col width="9.109375" customWidth="1" style="307" min="1" max="1"/>
    <col width="12.5546875" customWidth="1" style="307" min="2" max="2"/>
    <col width="22.44140625" customWidth="1" style="307" min="3" max="3"/>
    <col width="49.6640625" customWidth="1" style="307" min="4" max="4"/>
    <col width="10.109375" customWidth="1" style="307" min="5" max="5"/>
    <col width="20.6640625" customWidth="1" style="307" min="6" max="6"/>
    <col width="20" customWidth="1" style="307" min="7" max="7"/>
    <col width="17.88671875" customWidth="1" style="307" min="8" max="8"/>
    <col hidden="1" width="9.109375" customWidth="1" style="307" min="9" max="10"/>
    <col hidden="1" width="15" customWidth="1" style="307" min="11" max="11"/>
    <col hidden="1" width="9.109375" customWidth="1" style="307" min="12" max="12"/>
    <col width="9.109375" customWidth="1" style="307" min="13" max="13"/>
  </cols>
  <sheetData>
    <row r="2">
      <c r="A2" s="324" t="inlineStr">
        <is>
          <t xml:space="preserve">Приложение № 3 </t>
        </is>
      </c>
    </row>
    <row r="3">
      <c r="A3" s="325" t="inlineStr">
        <is>
          <t>Объектная ресурсная ведомость</t>
        </is>
      </c>
    </row>
    <row r="4" ht="18.75" customHeight="1" s="304">
      <c r="A4" s="286" t="n"/>
      <c r="B4" s="286" t="n"/>
      <c r="C4" s="3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27" t="n"/>
    </row>
    <row r="6" ht="30" customHeight="1" s="304">
      <c r="A6" s="333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7">
      <c r="A7" s="334" t="n"/>
      <c r="B7" s="334" t="n"/>
      <c r="C7" s="334" t="n"/>
      <c r="D7" s="334" t="n"/>
      <c r="E7" s="334" t="n"/>
      <c r="F7" s="334" t="n"/>
      <c r="G7" s="334" t="n"/>
      <c r="H7" s="334" t="n"/>
    </row>
    <row r="8" ht="38.25" customHeight="1" s="304">
      <c r="A8" s="331" t="inlineStr">
        <is>
          <t>п/п</t>
        </is>
      </c>
      <c r="B8" s="331" t="inlineStr">
        <is>
          <t>№ЛСР</t>
        </is>
      </c>
      <c r="C8" s="331" t="inlineStr">
        <is>
          <t>Код ресурса</t>
        </is>
      </c>
      <c r="D8" s="331" t="inlineStr">
        <is>
          <t>Наименование ресурса</t>
        </is>
      </c>
      <c r="E8" s="331" t="inlineStr">
        <is>
          <t>Ед. изм.</t>
        </is>
      </c>
      <c r="F8" s="331" t="inlineStr">
        <is>
          <t>Кол-во единиц по данным объекта-представителя</t>
        </is>
      </c>
      <c r="G8" s="331" t="inlineStr">
        <is>
          <t>Сметная стоимость в ценах на 01.01.2000 (руб.)</t>
        </is>
      </c>
      <c r="H8" s="424" t="n"/>
    </row>
    <row r="9" ht="40.5" customHeight="1" s="304">
      <c r="A9" s="426" t="n"/>
      <c r="B9" s="426" t="n"/>
      <c r="C9" s="426" t="n"/>
      <c r="D9" s="426" t="n"/>
      <c r="E9" s="426" t="n"/>
      <c r="F9" s="426" t="n"/>
      <c r="G9" s="331" t="inlineStr">
        <is>
          <t>на ед.изм.</t>
        </is>
      </c>
      <c r="H9" s="331" t="inlineStr">
        <is>
          <t>общая</t>
        </is>
      </c>
    </row>
    <row r="10">
      <c r="A10" s="332" t="n">
        <v>1</v>
      </c>
      <c r="B10" s="332" t="n"/>
      <c r="C10" s="332" t="n">
        <v>2</v>
      </c>
      <c r="D10" s="332" t="inlineStr">
        <is>
          <t>З</t>
        </is>
      </c>
      <c r="E10" s="332" t="n">
        <v>4</v>
      </c>
      <c r="F10" s="332" t="n">
        <v>5</v>
      </c>
      <c r="G10" s="332" t="n">
        <v>6</v>
      </c>
      <c r="H10" s="332" t="n">
        <v>7</v>
      </c>
    </row>
    <row r="11" customFormat="1" s="305">
      <c r="A11" s="340" t="inlineStr">
        <is>
          <t>Затраты труда рабочих</t>
        </is>
      </c>
      <c r="B11" s="423" t="n"/>
      <c r="C11" s="423" t="n"/>
      <c r="D11" s="423" t="n"/>
      <c r="E11" s="424" t="n"/>
      <c r="F11" s="278">
        <f>SUM(F12:F18)</f>
        <v/>
      </c>
      <c r="G11" s="279" t="n"/>
      <c r="H11" s="278">
        <f>SUM(H12:H18)</f>
        <v/>
      </c>
    </row>
    <row r="12">
      <c r="A12" s="280" t="n">
        <v>1</v>
      </c>
      <c r="B12" s="252" t="n"/>
      <c r="C12" s="280" t="inlineStr">
        <is>
          <t>1-3-3</t>
        </is>
      </c>
      <c r="D12" s="281" t="inlineStr">
        <is>
          <t>Затраты труда рабочих (ср 3,3)</t>
        </is>
      </c>
      <c r="E12" s="376" t="inlineStr">
        <is>
          <t>чел.час</t>
        </is>
      </c>
      <c r="F12" s="275" t="n">
        <v>196.97</v>
      </c>
      <c r="G12" s="277" t="n">
        <v>8.859999999999999</v>
      </c>
      <c r="H12" s="277">
        <f>ROUND(F12*G12,2)</f>
        <v/>
      </c>
      <c r="I12" s="307" t="n">
        <v>3.3</v>
      </c>
      <c r="J12" s="307">
        <f>I12*F12</f>
        <v/>
      </c>
    </row>
    <row r="13">
      <c r="A13" s="285" t="n">
        <v>2</v>
      </c>
      <c r="B13" s="252" t="n"/>
      <c r="C13" s="280" t="inlineStr">
        <is>
          <t>1-4-3</t>
        </is>
      </c>
      <c r="D13" s="281" t="inlineStr">
        <is>
          <t>Затраты труда рабочих (ср 4,3)</t>
        </is>
      </c>
      <c r="E13" s="376" t="inlineStr">
        <is>
          <t>чел.час</t>
        </is>
      </c>
      <c r="F13" s="275" t="n">
        <v>48.54</v>
      </c>
      <c r="G13" s="277" t="n">
        <v>10.06</v>
      </c>
      <c r="H13" s="277">
        <f>ROUND(F13*G13,2)</f>
        <v/>
      </c>
      <c r="I13" s="307" t="n">
        <v>4.3</v>
      </c>
      <c r="J13" s="307">
        <f>I13*F13</f>
        <v/>
      </c>
    </row>
    <row r="14">
      <c r="A14" s="376" t="n">
        <v>3</v>
      </c>
      <c r="B14" s="252" t="n"/>
      <c r="C14" s="280" t="inlineStr">
        <is>
          <t>1-3-9</t>
        </is>
      </c>
      <c r="D14" s="281" t="inlineStr">
        <is>
          <t>Затраты труда рабочих (ср 3,9)</t>
        </is>
      </c>
      <c r="E14" s="376" t="inlineStr">
        <is>
          <t>чел.час</t>
        </is>
      </c>
      <c r="F14" s="275" t="n">
        <v>48.77</v>
      </c>
      <c r="G14" s="277" t="n">
        <v>9.51</v>
      </c>
      <c r="H14" s="277">
        <f>ROUND(F14*G14,2)</f>
        <v/>
      </c>
      <c r="I14" s="307" t="n">
        <v>3.9</v>
      </c>
      <c r="J14" s="307">
        <f>I14*F14</f>
        <v/>
      </c>
    </row>
    <row r="15">
      <c r="A15" s="285" t="n">
        <v>4</v>
      </c>
      <c r="B15" s="252" t="n"/>
      <c r="C15" s="280" t="inlineStr">
        <is>
          <t>1-2-9</t>
        </is>
      </c>
      <c r="D15" s="281" t="inlineStr">
        <is>
          <t>Затраты труда рабочих (ср 2,9)</t>
        </is>
      </c>
      <c r="E15" s="376" t="inlineStr">
        <is>
          <t>чел.час</t>
        </is>
      </c>
      <c r="F15" s="275" t="n">
        <v>52.92</v>
      </c>
      <c r="G15" s="277" t="n">
        <v>8.460000000000001</v>
      </c>
      <c r="H15" s="277">
        <f>ROUND(F15*G15,2)</f>
        <v/>
      </c>
      <c r="I15" s="307" t="n">
        <v>2.9</v>
      </c>
      <c r="J15" s="307">
        <f>I15*F15</f>
        <v/>
      </c>
    </row>
    <row r="16">
      <c r="A16" s="376" t="n">
        <v>5</v>
      </c>
      <c r="B16" s="252" t="n"/>
      <c r="C16" s="280" t="inlineStr">
        <is>
          <t>1-4-0</t>
        </is>
      </c>
      <c r="D16" s="281" t="inlineStr">
        <is>
          <t>Затраты труда рабочих (ср 4)</t>
        </is>
      </c>
      <c r="E16" s="376" t="inlineStr">
        <is>
          <t>чел.час</t>
        </is>
      </c>
      <c r="F16" s="275" t="n">
        <v>29.04</v>
      </c>
      <c r="G16" s="277" t="n">
        <v>9.619999999999999</v>
      </c>
      <c r="H16" s="277">
        <f>ROUND(F16*G16,2)</f>
        <v/>
      </c>
      <c r="I16" s="307" t="n">
        <v>4</v>
      </c>
      <c r="J16" s="307">
        <f>I16*F16</f>
        <v/>
      </c>
    </row>
    <row r="17">
      <c r="A17" s="285" t="n">
        <v>6</v>
      </c>
      <c r="B17" s="252" t="n"/>
      <c r="C17" s="280" t="inlineStr">
        <is>
          <t>1-2-5</t>
        </is>
      </c>
      <c r="D17" s="281" t="inlineStr">
        <is>
          <t>Затраты труда рабочих (ср 2,5)</t>
        </is>
      </c>
      <c r="E17" s="376" t="inlineStr">
        <is>
          <t>чел.час</t>
        </is>
      </c>
      <c r="F17" s="275" t="n">
        <v>23.5</v>
      </c>
      <c r="G17" s="277" t="n">
        <v>8.17</v>
      </c>
      <c r="H17" s="277">
        <f>ROUND(F17*G17,2)</f>
        <v/>
      </c>
      <c r="I17" s="307" t="n">
        <v>2.5</v>
      </c>
      <c r="J17" s="307">
        <f>I17*F17</f>
        <v/>
      </c>
    </row>
    <row r="18">
      <c r="A18" s="376" t="n">
        <v>7</v>
      </c>
      <c r="B18" s="252" t="n"/>
      <c r="C18" s="280" t="inlineStr">
        <is>
          <t>1-3-6</t>
        </is>
      </c>
      <c r="D18" s="281" t="inlineStr">
        <is>
          <t>Затраты труда рабочих (ср 3,6)</t>
        </is>
      </c>
      <c r="E18" s="376" t="inlineStr">
        <is>
          <t>чел.час</t>
        </is>
      </c>
      <c r="F18" s="275" t="n">
        <v>3.95</v>
      </c>
      <c r="G18" s="277" t="n">
        <v>9.18</v>
      </c>
      <c r="H18" s="277">
        <f>ROUND(F18*G18,2)</f>
        <v/>
      </c>
      <c r="I18" s="307" t="n">
        <v>3.6</v>
      </c>
      <c r="J18" s="307">
        <f>I18*F18</f>
        <v/>
      </c>
    </row>
    <row r="19">
      <c r="A19" s="339" t="inlineStr">
        <is>
          <t>Затраты труда машинистов</t>
        </is>
      </c>
      <c r="B19" s="423" t="n"/>
      <c r="C19" s="423" t="n"/>
      <c r="D19" s="423" t="n"/>
      <c r="E19" s="424" t="n"/>
      <c r="F19" s="340" t="n"/>
      <c r="G19" s="250" t="n"/>
      <c r="H19" s="278">
        <f>H20</f>
        <v/>
      </c>
    </row>
    <row r="20">
      <c r="A20" s="376" t="n">
        <v>8</v>
      </c>
      <c r="B20" s="341" t="n"/>
      <c r="C20" s="280" t="n">
        <v>2</v>
      </c>
      <c r="D20" s="281" t="inlineStr">
        <is>
          <t>Затраты труда машинистов</t>
        </is>
      </c>
      <c r="E20" s="376" t="inlineStr">
        <is>
          <t>чел.-ч</t>
        </is>
      </c>
      <c r="F20" s="294" t="n">
        <v>85.2</v>
      </c>
      <c r="G20" s="277" t="n">
        <v>0</v>
      </c>
      <c r="H20" s="283" t="n">
        <v>1457.43</v>
      </c>
      <c r="J20" s="307">
        <f>SUM(J12:J18)</f>
        <v/>
      </c>
    </row>
    <row r="21" customFormat="1" s="305">
      <c r="A21" s="340" t="inlineStr">
        <is>
          <t>Машины и механизмы</t>
        </is>
      </c>
      <c r="B21" s="423" t="n"/>
      <c r="C21" s="423" t="n"/>
      <c r="D21" s="423" t="n"/>
      <c r="E21" s="424" t="n"/>
      <c r="F21" s="340" t="n"/>
      <c r="G21" s="250" t="n"/>
      <c r="H21" s="278">
        <f>SUM(H22:H29)</f>
        <v/>
      </c>
    </row>
    <row r="22" ht="25.5" customHeight="1" s="304">
      <c r="A22" s="376" t="n">
        <v>9</v>
      </c>
      <c r="B22" s="341" t="n"/>
      <c r="C22" s="280" t="inlineStr">
        <is>
          <t>91.04.01-031</t>
        </is>
      </c>
      <c r="D22" s="281" t="inlineStr">
        <is>
          <t>Машины бурильно-крановые на автомобиле, глубина бурения 3,5 м</t>
        </is>
      </c>
      <c r="E22" s="376" t="inlineStr">
        <is>
          <t>маш.-ч</t>
        </is>
      </c>
      <c r="F22" s="376" t="n">
        <v>37.32</v>
      </c>
      <c r="G22" s="284" t="n">
        <v>138.54</v>
      </c>
      <c r="H22" s="277">
        <f>ROUND(F22*G22,2)</f>
        <v/>
      </c>
      <c r="I22" s="288">
        <f>H22/$H$21</f>
        <v/>
      </c>
      <c r="J22" s="287">
        <f>J20/F11</f>
        <v/>
      </c>
      <c r="L22" s="288">
        <f>H22/$H$21</f>
        <v/>
      </c>
    </row>
    <row r="23" customFormat="1" s="305">
      <c r="A23" s="376" t="n">
        <v>10</v>
      </c>
      <c r="B23" s="341" t="n"/>
      <c r="C23" s="280" t="inlineStr">
        <is>
          <t>91.06.06-011</t>
        </is>
      </c>
      <c r="D23" s="281" t="inlineStr">
        <is>
          <t>Автогидроподъемники, высота подъема 12 м</t>
        </is>
      </c>
      <c r="E23" s="376" t="inlineStr">
        <is>
          <t>маш.-ч</t>
        </is>
      </c>
      <c r="F23" s="376" t="n">
        <v>35.64</v>
      </c>
      <c r="G23" s="284" t="n">
        <v>82.22</v>
      </c>
      <c r="H23" s="277">
        <f>ROUND(F23*G23,2)</f>
        <v/>
      </c>
      <c r="I23" s="288">
        <f>H23/$H$21</f>
        <v/>
      </c>
      <c r="L23" s="288">
        <f>H23/$H$21</f>
        <v/>
      </c>
    </row>
    <row r="24" ht="25.5" customHeight="1" s="304">
      <c r="A24" s="376" t="n">
        <v>11</v>
      </c>
      <c r="B24" s="341" t="n"/>
      <c r="C24" s="280" t="inlineStr">
        <is>
          <t>91.05.05-014</t>
        </is>
      </c>
      <c r="D24" s="281" t="inlineStr">
        <is>
          <t>Краны на автомобильном ходу, грузоподъемность 10 т</t>
        </is>
      </c>
      <c r="E24" s="376" t="inlineStr">
        <is>
          <t>маш.-ч</t>
        </is>
      </c>
      <c r="F24" s="376" t="n">
        <v>13.56</v>
      </c>
      <c r="G24" s="284" t="n">
        <v>111.99</v>
      </c>
      <c r="H24" s="277">
        <f>ROUND(F24*G24,2)</f>
        <v/>
      </c>
      <c r="I24" s="288">
        <f>H24/$H$21</f>
        <v/>
      </c>
      <c r="L24" s="288" t="n"/>
    </row>
    <row r="25" ht="25.5" customHeight="1" s="304">
      <c r="A25" s="376" t="n">
        <v>12</v>
      </c>
      <c r="B25" s="341" t="n"/>
      <c r="C25" s="280" t="inlineStr">
        <is>
          <t>91.15.03-014</t>
        </is>
      </c>
      <c r="D25" s="281" t="inlineStr">
        <is>
          <t>Тракторы на пневмоколесном ходу, мощность 59 кВт (80 л.с.)</t>
        </is>
      </c>
      <c r="E25" s="376" t="inlineStr">
        <is>
          <t>маш.-ч</t>
        </is>
      </c>
      <c r="F25" s="376" t="n">
        <v>19.24</v>
      </c>
      <c r="G25" s="284" t="n">
        <v>74.61</v>
      </c>
      <c r="H25" s="277">
        <f>ROUND(F25*G25,2)</f>
        <v/>
      </c>
      <c r="I25" s="288">
        <f>H25/$H$21</f>
        <v/>
      </c>
      <c r="L25" s="288" t="n"/>
    </row>
    <row r="26">
      <c r="A26" s="376" t="n">
        <v>13</v>
      </c>
      <c r="B26" s="341" t="n"/>
      <c r="C26" s="280" t="inlineStr">
        <is>
          <t>91.14.02-001</t>
        </is>
      </c>
      <c r="D26" s="281" t="inlineStr">
        <is>
          <t>Автомобили бортовые, грузоподъемность до 5 т</t>
        </is>
      </c>
      <c r="E26" s="376" t="inlineStr">
        <is>
          <t>маш.-ч</t>
        </is>
      </c>
      <c r="F26" s="376" t="n">
        <v>19.24</v>
      </c>
      <c r="G26" s="284" t="n">
        <v>65.70999999999999</v>
      </c>
      <c r="H26" s="277">
        <f>ROUND(F26*G26,2)</f>
        <v/>
      </c>
      <c r="I26" s="288">
        <f>H26/$H$21</f>
        <v/>
      </c>
      <c r="L26" s="288" t="n"/>
    </row>
    <row r="27" ht="25.5" customHeight="1" s="304">
      <c r="A27" s="376" t="n">
        <v>14</v>
      </c>
      <c r="B27" s="341" t="n"/>
      <c r="C27" s="280" t="inlineStr">
        <is>
          <t>91.17.04-036</t>
        </is>
      </c>
      <c r="D27" s="281" t="inlineStr">
        <is>
          <t>Агрегаты сварочные передвижные с дизельным двигателем, номинальный сварочный ток 250-400 А</t>
        </is>
      </c>
      <c r="E27" s="376" t="inlineStr">
        <is>
          <t>маш.-ч</t>
        </is>
      </c>
      <c r="F27" s="376" t="n">
        <v>14.7</v>
      </c>
      <c r="G27" s="284" t="n">
        <v>14</v>
      </c>
      <c r="H27" s="277">
        <f>ROUND(F27*G27,2)</f>
        <v/>
      </c>
      <c r="I27" s="288">
        <f>H27/$H$21</f>
        <v/>
      </c>
      <c r="L27" s="288" t="n"/>
    </row>
    <row r="28">
      <c r="A28" s="376" t="n">
        <v>15</v>
      </c>
      <c r="B28" s="341" t="n"/>
      <c r="C28" s="280" t="inlineStr">
        <is>
          <t>91.15.01-001</t>
        </is>
      </c>
      <c r="D28" s="281" t="inlineStr">
        <is>
          <t>Прицепы тракторные 2 т</t>
        </is>
      </c>
      <c r="E28" s="376" t="inlineStr">
        <is>
          <t>маш.-ч</t>
        </is>
      </c>
      <c r="F28" s="376" t="n">
        <v>12.8</v>
      </c>
      <c r="G28" s="284" t="n">
        <v>4.01</v>
      </c>
      <c r="H28" s="277">
        <f>ROUND(F28*G28,2)</f>
        <v/>
      </c>
      <c r="I28" s="288">
        <f>H28/$H$21</f>
        <v/>
      </c>
    </row>
    <row r="29" ht="25.5" customHeight="1" s="304">
      <c r="A29" s="376" t="n">
        <v>16</v>
      </c>
      <c r="B29" s="341" t="n"/>
      <c r="C29" s="280" t="inlineStr">
        <is>
          <t>91.17.04-233</t>
        </is>
      </c>
      <c r="D29" s="281" t="inlineStr">
        <is>
          <t>Установки для сварки ручной дуговой (постоянного тока)</t>
        </is>
      </c>
      <c r="E29" s="376" t="inlineStr">
        <is>
          <t>маш.-ч</t>
        </is>
      </c>
      <c r="F29" s="376" t="n">
        <v>0.23</v>
      </c>
      <c r="G29" s="284" t="n">
        <v>8.1</v>
      </c>
      <c r="H29" s="277">
        <f>ROUND(F29*G29,2)</f>
        <v/>
      </c>
    </row>
    <row r="30">
      <c r="A30" s="340" t="inlineStr">
        <is>
          <t>Материалы</t>
        </is>
      </c>
      <c r="B30" s="423" t="n"/>
      <c r="C30" s="423" t="n"/>
      <c r="D30" s="423" t="n"/>
      <c r="E30" s="424" t="n"/>
      <c r="F30" s="340" t="n"/>
      <c r="G30" s="250" t="n"/>
      <c r="H30" s="278">
        <f>SUM(H31:H70)</f>
        <v/>
      </c>
    </row>
    <row r="31" ht="38.25" customHeight="1" s="304">
      <c r="A31" s="285" t="n">
        <v>17</v>
      </c>
      <c r="B31" s="341" t="n"/>
      <c r="C31" s="280" t="inlineStr">
        <is>
          <t>62.1.03.01-1070</t>
        </is>
      </c>
      <c r="D31" s="281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1" s="376" t="inlineStr">
        <is>
          <t>шт</t>
        </is>
      </c>
      <c r="F31" s="376" t="n">
        <v>23</v>
      </c>
      <c r="G31" s="277" t="n">
        <v>1485.93</v>
      </c>
      <c r="H31" s="277">
        <f>ROUND(F31*G31,2)</f>
        <v/>
      </c>
      <c r="I31" s="290">
        <f>H31/$H$30</f>
        <v/>
      </c>
      <c r="K31" s="288">
        <f>H31/$H$30</f>
        <v/>
      </c>
    </row>
    <row r="32">
      <c r="A32" s="285" t="n">
        <v>18</v>
      </c>
      <c r="B32" s="341" t="n"/>
      <c r="C32" s="280" t="inlineStr">
        <is>
          <t>22.2.01.03-0003</t>
        </is>
      </c>
      <c r="D32" s="281" t="inlineStr">
        <is>
          <t>Изолятор подвесной стеклянный ПСД-70Е</t>
        </is>
      </c>
      <c r="E32" s="376" t="inlineStr">
        <is>
          <t>шт</t>
        </is>
      </c>
      <c r="F32" s="376" t="n">
        <v>126</v>
      </c>
      <c r="G32" s="277" t="n">
        <v>169.25</v>
      </c>
      <c r="H32" s="277">
        <f>ROUND(F32*G32,2)</f>
        <v/>
      </c>
      <c r="I32" s="290">
        <f>H32/$H$30</f>
        <v/>
      </c>
    </row>
    <row r="33">
      <c r="A33" s="285" t="n">
        <v>19</v>
      </c>
      <c r="B33" s="341" t="n"/>
      <c r="C33" s="280" t="inlineStr">
        <is>
          <t>20.1.01.08-0001</t>
        </is>
      </c>
      <c r="D33" s="281" t="inlineStr">
        <is>
          <t>Зажим оперативный ответвительный марки SL 30</t>
        </is>
      </c>
      <c r="E33" s="376" t="inlineStr">
        <is>
          <t>100 шт</t>
        </is>
      </c>
      <c r="F33" s="376" t="n">
        <v>0.3</v>
      </c>
      <c r="G33" s="277" t="n">
        <v>53793</v>
      </c>
      <c r="H33" s="277">
        <f>ROUND(F33*G33,2)</f>
        <v/>
      </c>
      <c r="I33" s="290">
        <f>H33/$H$30</f>
        <v/>
      </c>
    </row>
    <row r="34">
      <c r="A34" s="285" t="n">
        <v>20</v>
      </c>
      <c r="B34" s="341" t="n"/>
      <c r="C34" s="280" t="inlineStr">
        <is>
          <t>07.2.02.05-0021</t>
        </is>
      </c>
      <c r="D34" s="281" t="inlineStr">
        <is>
          <t>Траверсы стальные</t>
        </is>
      </c>
      <c r="E34" s="376" t="inlineStr">
        <is>
          <t>т</t>
        </is>
      </c>
      <c r="F34" s="376" t="n">
        <v>0.6619</v>
      </c>
      <c r="G34" s="277" t="n">
        <v>10832.93</v>
      </c>
      <c r="H34" s="277">
        <f>ROUND(F34*G34,2)</f>
        <v/>
      </c>
      <c r="I34" s="290">
        <f>H34/$H$30</f>
        <v/>
      </c>
    </row>
    <row r="35">
      <c r="A35" s="285" t="n">
        <v>21</v>
      </c>
      <c r="B35" s="341" t="n"/>
      <c r="C35" s="280" t="inlineStr">
        <is>
          <t>20.5.04.04-0001</t>
        </is>
      </c>
      <c r="D35" s="281" t="inlineStr">
        <is>
          <t>Зажим натяжной болтовый НБ-2-6</t>
        </is>
      </c>
      <c r="E35" s="376" t="inlineStr">
        <is>
          <t>шт</t>
        </is>
      </c>
      <c r="F35" s="376" t="n">
        <v>63</v>
      </c>
      <c r="G35" s="277" t="n">
        <v>89.44</v>
      </c>
      <c r="H35" s="277">
        <f>ROUND(F35*G35,2)</f>
        <v/>
      </c>
      <c r="I35" s="290">
        <f>H35/$H$30</f>
        <v/>
      </c>
    </row>
    <row r="36" ht="25.5" customHeight="1" s="304">
      <c r="A36" s="285" t="n">
        <v>22</v>
      </c>
      <c r="B36" s="341" t="n"/>
      <c r="C36" s="280" t="inlineStr">
        <is>
          <t>20.2.08.07-0031</t>
        </is>
      </c>
      <c r="D36" s="281" t="inlineStr">
        <is>
          <t>Скоба П-образная для оперативных ответвительных зажимов SL 30, SL 36, марки PSS 924 (ENSTO)</t>
        </is>
      </c>
      <c r="E36" s="376" t="inlineStr">
        <is>
          <t>100 шт</t>
        </is>
      </c>
      <c r="F36" s="376" t="n">
        <v>0.15</v>
      </c>
      <c r="G36" s="277" t="n">
        <v>25876</v>
      </c>
      <c r="H36" s="277">
        <f>ROUND(F36*G36,2)</f>
        <v/>
      </c>
      <c r="I36" s="290">
        <f>H36/$H$30</f>
        <v/>
      </c>
    </row>
    <row r="37" ht="25.5" customHeight="1" s="304">
      <c r="A37" s="285" t="n">
        <v>23</v>
      </c>
      <c r="B37" s="341" t="n"/>
      <c r="C37" s="280" t="inlineStr">
        <is>
          <t>20.1.02.15-0011</t>
        </is>
      </c>
      <c r="D37" s="281" t="inlineStr">
        <is>
          <t>Соединитель алюминиевых и сталеалюминиевых проводов (СОАС) 062-3</t>
        </is>
      </c>
      <c r="E37" s="376" t="inlineStr">
        <is>
          <t>шт</t>
        </is>
      </c>
      <c r="F37" s="376" t="n">
        <v>43.697</v>
      </c>
      <c r="G37" s="277" t="n">
        <v>88.14</v>
      </c>
      <c r="H37" s="277">
        <f>ROUND(F37*G37,2)</f>
        <v/>
      </c>
      <c r="I37" s="290">
        <f>H37/$H$30</f>
        <v/>
      </c>
    </row>
    <row r="38">
      <c r="A38" s="285" t="n">
        <v>24</v>
      </c>
      <c r="B38" s="341" t="n"/>
      <c r="C38" s="280" t="inlineStr">
        <is>
          <t>22.2.01.04-0002</t>
        </is>
      </c>
      <c r="D38" s="281" t="inlineStr">
        <is>
          <t>Изолятор линейный штыревой фарфоровый ШФ 20-Г</t>
        </is>
      </c>
      <c r="E38" s="376" t="inlineStr">
        <is>
          <t>шт</t>
        </is>
      </c>
      <c r="F38" s="376" t="n">
        <v>61</v>
      </c>
      <c r="G38" s="277" t="n">
        <v>46.72</v>
      </c>
      <c r="H38" s="277">
        <f>ROUND(F38*G38,2)</f>
        <v/>
      </c>
      <c r="I38" s="290" t="n"/>
    </row>
    <row r="39">
      <c r="A39" s="285" t="n">
        <v>25</v>
      </c>
      <c r="B39" s="341" t="n"/>
      <c r="C39" s="280" t="inlineStr">
        <is>
          <t>22.2.02.04-0041</t>
        </is>
      </c>
      <c r="D39" s="281" t="inlineStr">
        <is>
          <t>Звено промежуточное трехлапчатое ПРТ-7-1</t>
        </is>
      </c>
      <c r="E39" s="376" t="inlineStr">
        <is>
          <t>шт</t>
        </is>
      </c>
      <c r="F39" s="376" t="n">
        <v>75</v>
      </c>
      <c r="G39" s="277" t="n">
        <v>36.42</v>
      </c>
      <c r="H39" s="277">
        <f>ROUND(F39*G39,2)</f>
        <v/>
      </c>
      <c r="I39" s="290" t="n"/>
    </row>
    <row r="40">
      <c r="A40" s="285" t="n">
        <v>26</v>
      </c>
      <c r="B40" s="341" t="n"/>
      <c r="C40" s="280" t="inlineStr">
        <is>
          <t>20.1.02.22-0005</t>
        </is>
      </c>
      <c r="D40" s="281" t="inlineStr">
        <is>
          <t>Ушко: однолапчатое У1-7-16</t>
        </is>
      </c>
      <c r="E40" s="376" t="inlineStr">
        <is>
          <t>шт</t>
        </is>
      </c>
      <c r="F40" s="376" t="n">
        <v>63</v>
      </c>
      <c r="G40" s="277" t="n">
        <v>39.32</v>
      </c>
      <c r="H40" s="277">
        <f>ROUND(F40*G40,2)</f>
        <v/>
      </c>
      <c r="I40" s="290" t="n"/>
    </row>
    <row r="41">
      <c r="A41" s="285" t="n">
        <v>27</v>
      </c>
      <c r="B41" s="341" t="n"/>
      <c r="C41" s="280" t="inlineStr">
        <is>
          <t>20.1.01.11-0022</t>
        </is>
      </c>
      <c r="D41" s="281" t="inlineStr">
        <is>
          <t>Зажим соединительный: плашечный ПС-2-1</t>
        </is>
      </c>
      <c r="E41" s="376" t="inlineStr">
        <is>
          <t>шт</t>
        </is>
      </c>
      <c r="F41" s="376" t="n">
        <v>150</v>
      </c>
      <c r="G41" s="277" t="n">
        <v>12.53</v>
      </c>
      <c r="H41" s="277">
        <f>ROUND(F41*G41,2)</f>
        <v/>
      </c>
      <c r="I41" s="290" t="n"/>
    </row>
    <row r="42">
      <c r="A42" s="285" t="n">
        <v>28</v>
      </c>
      <c r="B42" s="341" t="n"/>
      <c r="C42" s="280" t="inlineStr">
        <is>
          <t>07.2.07.13-0221</t>
        </is>
      </c>
      <c r="D42" s="281" t="inlineStr">
        <is>
          <t>Хомуты стальные</t>
        </is>
      </c>
      <c r="E42" s="376" t="inlineStr">
        <is>
          <t>кг</t>
        </is>
      </c>
      <c r="F42" s="376" t="n">
        <v>182.6</v>
      </c>
      <c r="G42" s="277" t="n">
        <v>9.6</v>
      </c>
      <c r="H42" s="277">
        <f>ROUND(F42*G42,2)</f>
        <v/>
      </c>
      <c r="I42" s="290" t="n"/>
    </row>
    <row r="43" ht="25.5" customHeight="1" s="304">
      <c r="A43" s="285" t="n">
        <v>29</v>
      </c>
      <c r="B43" s="341" t="n"/>
      <c r="C43" s="280" t="inlineStr">
        <is>
          <t>08.3.04.02-0095</t>
        </is>
      </c>
      <c r="D43" s="281" t="inlineStr">
        <is>
          <t>Круг стальной горячекатаный, марка стали ВСт3пс5-1, диаметр 16 мм</t>
        </is>
      </c>
      <c r="E43" s="376" t="inlineStr">
        <is>
          <t>т</t>
        </is>
      </c>
      <c r="F43" s="376" t="n">
        <v>0.3318</v>
      </c>
      <c r="G43" s="277" t="n">
        <v>5230.01</v>
      </c>
      <c r="H43" s="277">
        <f>ROUND(F43*G43,2)</f>
        <v/>
      </c>
      <c r="I43" s="290" t="n"/>
    </row>
    <row r="44">
      <c r="A44" s="285" t="n">
        <v>30</v>
      </c>
      <c r="B44" s="341" t="n"/>
      <c r="C44" s="280" t="inlineStr">
        <is>
          <t>22.2.02.14-0022</t>
        </is>
      </c>
      <c r="D44" s="281" t="inlineStr">
        <is>
          <t>Проволока стальная оцинкованная</t>
        </is>
      </c>
      <c r="E44" s="376" t="inlineStr">
        <is>
          <t>т</t>
        </is>
      </c>
      <c r="F44" s="376" t="n">
        <v>0.1</v>
      </c>
      <c r="G44" s="277" t="n">
        <v>10270</v>
      </c>
      <c r="H44" s="277">
        <f>ROUND(F44*G44,2)</f>
        <v/>
      </c>
      <c r="I44" s="290" t="n"/>
    </row>
    <row r="45">
      <c r="A45" s="285" t="n">
        <v>31</v>
      </c>
      <c r="B45" s="341" t="n"/>
      <c r="C45" s="280" t="inlineStr">
        <is>
          <t>20.2.02.04-0006</t>
        </is>
      </c>
      <c r="D45" s="281" t="inlineStr">
        <is>
          <t>Колпачки полиэтиленовые</t>
        </is>
      </c>
      <c r="E45" s="376" t="inlineStr">
        <is>
          <t>100 шт</t>
        </is>
      </c>
      <c r="F45" s="376" t="n">
        <v>1.26</v>
      </c>
      <c r="G45" s="277" t="n">
        <v>610</v>
      </c>
      <c r="H45" s="277">
        <f>ROUND(F45*G45,2)</f>
        <v/>
      </c>
      <c r="I45" s="290" t="n"/>
    </row>
    <row r="46">
      <c r="A46" s="285" t="n">
        <v>32</v>
      </c>
      <c r="B46" s="341" t="n"/>
      <c r="C46" s="280" t="inlineStr">
        <is>
          <t>20.1.01.11-0004</t>
        </is>
      </c>
      <c r="D46" s="281" t="inlineStr">
        <is>
          <t>Зажим: плашечный соединительный ПА 2-2</t>
        </is>
      </c>
      <c r="E46" s="376" t="inlineStr">
        <is>
          <t>шт</t>
        </is>
      </c>
      <c r="F46" s="376" t="n">
        <v>59</v>
      </c>
      <c r="G46" s="277" t="n">
        <v>6.78</v>
      </c>
      <c r="H46" s="277">
        <f>ROUND(F46*G46,2)</f>
        <v/>
      </c>
      <c r="I46" s="290" t="n"/>
    </row>
    <row r="47">
      <c r="A47" s="285" t="n">
        <v>33</v>
      </c>
      <c r="B47" s="341" t="n"/>
      <c r="C47" s="280" t="inlineStr">
        <is>
          <t>20.1.01.02-0047</t>
        </is>
      </c>
      <c r="D47" s="281" t="inlineStr">
        <is>
          <t>Зажим аппаратный прессуемый: А2А-70-2</t>
        </is>
      </c>
      <c r="E47" s="376" t="inlineStr">
        <is>
          <t>100 шт</t>
        </is>
      </c>
      <c r="F47" s="376" t="n">
        <v>0.18</v>
      </c>
      <c r="G47" s="277" t="n">
        <v>2089</v>
      </c>
      <c r="H47" s="277">
        <f>ROUND(F47*G47,2)</f>
        <v/>
      </c>
      <c r="I47" s="290" t="n"/>
    </row>
    <row r="48">
      <c r="A48" s="285" t="n">
        <v>34</v>
      </c>
      <c r="B48" s="341" t="n"/>
      <c r="C48" s="280" t="inlineStr">
        <is>
          <t>20.2.06.05-0001</t>
        </is>
      </c>
      <c r="D48" s="281" t="inlineStr">
        <is>
          <t>Кронштейны</t>
        </is>
      </c>
      <c r="E48" s="376" t="inlineStr">
        <is>
          <t>кг</t>
        </is>
      </c>
      <c r="F48" s="376" t="n">
        <v>30</v>
      </c>
      <c r="G48" s="277" t="n">
        <v>9.119999999999999</v>
      </c>
      <c r="H48" s="277">
        <f>ROUND(F48*G48,2)</f>
        <v/>
      </c>
      <c r="I48" s="290" t="n"/>
    </row>
    <row r="49" ht="25.5" customHeight="1" s="304">
      <c r="A49" s="285" t="n">
        <v>35</v>
      </c>
      <c r="B49" s="341" t="n"/>
      <c r="C49" s="280" t="inlineStr">
        <is>
          <t>08.3.04.02-0092</t>
        </is>
      </c>
      <c r="D49" s="281" t="inlineStr">
        <is>
          <t>Круг стальной горячекатаный, марка стали ВСт3пс5-1, диаметр 10 мм</t>
        </is>
      </c>
      <c r="E49" s="376" t="inlineStr">
        <is>
          <t>т</t>
        </is>
      </c>
      <c r="F49" s="376" t="n">
        <v>0.0517</v>
      </c>
      <c r="G49" s="277" t="n">
        <v>5230.01</v>
      </c>
      <c r="H49" s="277">
        <f>ROUND(F49*G49,2)</f>
        <v/>
      </c>
      <c r="I49" s="290" t="n"/>
    </row>
    <row r="50">
      <c r="A50" s="285" t="n">
        <v>36</v>
      </c>
      <c r="B50" s="341" t="n"/>
      <c r="C50" s="280" t="inlineStr">
        <is>
          <t>08.3.07.01-0035</t>
        </is>
      </c>
      <c r="D50" s="281" t="inlineStr">
        <is>
          <t>Сталь полосовая: 25х4 мм, марка Ст3сп</t>
        </is>
      </c>
      <c r="E50" s="376" t="inlineStr">
        <is>
          <t>т</t>
        </is>
      </c>
      <c r="F50" s="376" t="n">
        <v>0.0427</v>
      </c>
      <c r="G50" s="277" t="n">
        <v>6159.22</v>
      </c>
      <c r="H50" s="277">
        <f>ROUND(F50*G50,2)</f>
        <v/>
      </c>
      <c r="I50" s="290" t="n"/>
    </row>
    <row r="51">
      <c r="A51" s="285" t="n">
        <v>37</v>
      </c>
      <c r="B51" s="341" t="n"/>
      <c r="C51" s="280" t="inlineStr">
        <is>
          <t>10.1.02.03-0002</t>
        </is>
      </c>
      <c r="D51" s="281" t="inlineStr">
        <is>
          <t>Проволока алюминиевая, диаметр 3 мм</t>
        </is>
      </c>
      <c r="E51" s="376" t="inlineStr">
        <is>
          <t>т</t>
        </is>
      </c>
      <c r="F51" s="376" t="n">
        <v>0.0078</v>
      </c>
      <c r="G51" s="277" t="n">
        <v>29010.49</v>
      </c>
      <c r="H51" s="277">
        <f>ROUND(F51*G51,2)</f>
        <v/>
      </c>
      <c r="I51" s="290" t="n"/>
    </row>
    <row r="52" ht="38.25" customHeight="1" s="304">
      <c r="A52" s="285" t="n">
        <v>38</v>
      </c>
      <c r="B52" s="341" t="n"/>
      <c r="C52" s="280" t="inlineStr">
        <is>
          <t>25.2.02.11-0021</t>
        </is>
      </c>
      <c r="D52" s="281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2" s="376" t="inlineStr">
        <is>
          <t>шт</t>
        </is>
      </c>
      <c r="F52" s="376" t="n">
        <v>0.2</v>
      </c>
      <c r="G52" s="277" t="n">
        <v>943.0599999999999</v>
      </c>
      <c r="H52" s="277">
        <f>ROUND(F52*G52,2)</f>
        <v/>
      </c>
      <c r="I52" s="290" t="n"/>
    </row>
    <row r="53">
      <c r="A53" s="285" t="n">
        <v>39</v>
      </c>
      <c r="B53" s="341" t="n"/>
      <c r="C53" s="280" t="inlineStr">
        <is>
          <t>20.2.02.03-0011</t>
        </is>
      </c>
      <c r="D53" s="281" t="inlineStr">
        <is>
          <t>Кожух защитный для соединений проводов</t>
        </is>
      </c>
      <c r="E53" s="376" t="inlineStr">
        <is>
          <t>шт</t>
        </is>
      </c>
      <c r="F53" s="376" t="n">
        <v>1</v>
      </c>
      <c r="G53" s="277" t="n">
        <v>161.1</v>
      </c>
      <c r="H53" s="277">
        <f>ROUND(F53*G53,2)</f>
        <v/>
      </c>
      <c r="I53" s="290" t="n"/>
    </row>
    <row r="54" ht="25.5" customHeight="1" s="304">
      <c r="A54" s="285" t="n">
        <v>40</v>
      </c>
      <c r="B54" s="341" t="n"/>
      <c r="C54" s="280" t="inlineStr">
        <is>
          <t>14.4.02.04-0015</t>
        </is>
      </c>
      <c r="D54" s="281" t="inlineStr">
        <is>
          <t>Краска масляная для внутренних работ МА-015, черная густотертая</t>
        </is>
      </c>
      <c r="E54" s="376" t="inlineStr">
        <is>
          <t>т</t>
        </is>
      </c>
      <c r="F54" s="376" t="n">
        <v>0.008399999999999999</v>
      </c>
      <c r="G54" s="277" t="n">
        <v>15707</v>
      </c>
      <c r="H54" s="277">
        <f>ROUND(F54*G54,2)</f>
        <v/>
      </c>
      <c r="I54" s="290" t="n"/>
    </row>
    <row r="55">
      <c r="A55" s="285" t="n">
        <v>41</v>
      </c>
      <c r="B55" s="341" t="n"/>
      <c r="C55" s="280" t="inlineStr">
        <is>
          <t>20.1.02.23-0082</t>
        </is>
      </c>
      <c r="D55" s="281" t="inlineStr">
        <is>
          <t>Перемычки гибкие, тип ПГС-50</t>
        </is>
      </c>
      <c r="E55" s="376" t="inlineStr">
        <is>
          <t>10 шт</t>
        </is>
      </c>
      <c r="F55" s="376" t="n">
        <v>2.323</v>
      </c>
      <c r="G55" s="277" t="n">
        <v>39</v>
      </c>
      <c r="H55" s="277">
        <f>ROUND(F55*G55,2)</f>
        <v/>
      </c>
      <c r="I55" s="290" t="n"/>
    </row>
    <row r="56">
      <c r="A56" s="285" t="n">
        <v>42</v>
      </c>
      <c r="B56" s="341" t="n"/>
      <c r="C56" s="280" t="inlineStr">
        <is>
          <t>20.1.02.23-0121</t>
        </is>
      </c>
      <c r="D56" s="281" t="inlineStr">
        <is>
          <t>Проводник заземляющий П-750</t>
        </is>
      </c>
      <c r="E56" s="376" t="inlineStr">
        <is>
          <t>шт</t>
        </is>
      </c>
      <c r="F56" s="376" t="n">
        <v>6</v>
      </c>
      <c r="G56" s="277" t="n">
        <v>13.55</v>
      </c>
      <c r="H56" s="277">
        <f>ROUND(F56*G56,2)</f>
        <v/>
      </c>
      <c r="I56" s="290" t="n"/>
    </row>
    <row r="57">
      <c r="A57" s="285" t="n">
        <v>43</v>
      </c>
      <c r="B57" s="341" t="n"/>
      <c r="C57" s="280" t="inlineStr">
        <is>
          <t>01.3.01.06-0038</t>
        </is>
      </c>
      <c r="D57" s="281" t="inlineStr">
        <is>
          <t>Смазка защитная электросетевая</t>
        </is>
      </c>
      <c r="E57" s="376" t="inlineStr">
        <is>
          <t>кг</t>
        </is>
      </c>
      <c r="F57" s="376" t="n">
        <v>4.3452</v>
      </c>
      <c r="G57" s="277" t="n">
        <v>14.4</v>
      </c>
      <c r="H57" s="277">
        <f>ROUND(F57*G57,2)</f>
        <v/>
      </c>
      <c r="I57" s="290">
        <f>H57/$H$30</f>
        <v/>
      </c>
    </row>
    <row r="58">
      <c r="A58" s="285" t="n">
        <v>44</v>
      </c>
      <c r="B58" s="341" t="n"/>
      <c r="C58" s="280" t="inlineStr">
        <is>
          <t>01.7.11.07-0032</t>
        </is>
      </c>
      <c r="D58" s="281" t="inlineStr">
        <is>
          <t>Электроды сварочные Э42, диаметр 4 мм</t>
        </is>
      </c>
      <c r="E58" s="376" t="inlineStr">
        <is>
          <t>т</t>
        </is>
      </c>
      <c r="F58" s="376" t="n">
        <v>0.0035</v>
      </c>
      <c r="G58" s="277" t="n">
        <v>10315.01</v>
      </c>
      <c r="H58" s="277">
        <f>ROUND(F58*G58,2)</f>
        <v/>
      </c>
      <c r="I58" s="290">
        <f>H58/$H$30</f>
        <v/>
      </c>
    </row>
    <row r="59" ht="25.5" customFormat="1" customHeight="1" s="305">
      <c r="A59" s="285" t="n">
        <v>45</v>
      </c>
      <c r="B59" s="341" t="n"/>
      <c r="C59" s="280" t="inlineStr">
        <is>
          <t>25.2.02.11-0051</t>
        </is>
      </c>
      <c r="D59" s="281" t="inlineStr">
        <is>
          <t>Скрепа для фиксации на промежуточных опорах, размер 20 мм</t>
        </is>
      </c>
      <c r="E59" s="376" t="inlineStr">
        <is>
          <t>100 шт</t>
        </is>
      </c>
      <c r="F59" s="376" t="n">
        <v>0.06</v>
      </c>
      <c r="G59" s="277" t="n">
        <v>582</v>
      </c>
      <c r="H59" s="277">
        <f>ROUND(F59*G59,2)</f>
        <v/>
      </c>
      <c r="I59" s="290">
        <f>H59/$H$30</f>
        <v/>
      </c>
    </row>
    <row r="60">
      <c r="A60" s="285" t="n">
        <v>46</v>
      </c>
      <c r="B60" s="341" t="n"/>
      <c r="C60" s="280" t="inlineStr">
        <is>
          <t>14.4.03.03-0102</t>
        </is>
      </c>
      <c r="D60" s="281" t="inlineStr">
        <is>
          <t>Лак битумный БТ-577</t>
        </is>
      </c>
      <c r="E60" s="376" t="inlineStr">
        <is>
          <t>т</t>
        </is>
      </c>
      <c r="F60" s="376" t="n">
        <v>0.0036</v>
      </c>
      <c r="G60" s="277" t="n">
        <v>9550.01</v>
      </c>
      <c r="H60" s="277">
        <f>ROUND(F60*G60,2)</f>
        <v/>
      </c>
      <c r="I60" s="290">
        <f>H60/$H$30</f>
        <v/>
      </c>
    </row>
    <row r="61" ht="25.5" customHeight="1" s="304">
      <c r="A61" s="285" t="n">
        <v>47</v>
      </c>
      <c r="B61" s="341" t="n"/>
      <c r="C61" s="280" t="inlineStr">
        <is>
          <t>25.2.02.01-0011</t>
        </is>
      </c>
      <c r="D61" s="281" t="inlineStr">
        <is>
          <t>Болт специальный для крепления с гайкой и шайбой, диаметр 12-16 мм, длина 400 мм</t>
        </is>
      </c>
      <c r="E61" s="376" t="inlineStr">
        <is>
          <t>т</t>
        </is>
      </c>
      <c r="F61" s="376" t="n">
        <v>0.0021</v>
      </c>
      <c r="G61" s="277" t="n">
        <v>12539.84</v>
      </c>
      <c r="H61" s="277">
        <f>ROUND(F61*G61,2)</f>
        <v/>
      </c>
      <c r="I61" s="290">
        <f>H61/$H$30</f>
        <v/>
      </c>
      <c r="K61" s="288">
        <f>H61/$H$30</f>
        <v/>
      </c>
    </row>
    <row r="62">
      <c r="A62" s="285" t="n">
        <v>48</v>
      </c>
      <c r="B62" s="341" t="n"/>
      <c r="C62" s="280" t="inlineStr">
        <is>
          <t>01.7.15.03-0042</t>
        </is>
      </c>
      <c r="D62" s="281" t="inlineStr">
        <is>
          <t>Болты с гайками и шайбами строительные</t>
        </is>
      </c>
      <c r="E62" s="376" t="inlineStr">
        <is>
          <t>кг</t>
        </is>
      </c>
      <c r="F62" s="376" t="n">
        <v>2.462</v>
      </c>
      <c r="G62" s="277" t="n">
        <v>9.039999999999999</v>
      </c>
      <c r="H62" s="277">
        <f>ROUND(F62*G62,2)</f>
        <v/>
      </c>
      <c r="I62" s="290" t="n"/>
      <c r="K62" s="288">
        <f>H62/$H$30</f>
        <v/>
      </c>
    </row>
    <row r="63">
      <c r="A63" s="285" t="n">
        <v>49</v>
      </c>
      <c r="B63" s="341" t="n"/>
      <c r="C63" s="280" t="inlineStr">
        <is>
          <t>01.7.15.07-0014</t>
        </is>
      </c>
      <c r="D63" s="281" t="inlineStr">
        <is>
          <t>Дюбели распорные полипропиленовые</t>
        </is>
      </c>
      <c r="E63" s="376" t="inlineStr">
        <is>
          <t>100 шт</t>
        </is>
      </c>
      <c r="F63" s="376" t="n">
        <v>0.2323</v>
      </c>
      <c r="G63" s="277" t="n">
        <v>86</v>
      </c>
      <c r="H63" s="277">
        <f>ROUND(F63*G63,2)</f>
        <v/>
      </c>
      <c r="I63" s="290" t="n"/>
      <c r="K63" s="288">
        <f>H63/$H$30</f>
        <v/>
      </c>
    </row>
    <row r="64">
      <c r="A64" s="285" t="n">
        <v>50</v>
      </c>
      <c r="B64" s="341" t="n"/>
      <c r="C64" s="280" t="inlineStr">
        <is>
          <t>14.4.02.09-0001</t>
        </is>
      </c>
      <c r="D64" s="281" t="inlineStr">
        <is>
          <t>Краска</t>
        </is>
      </c>
      <c r="E64" s="376" t="inlineStr">
        <is>
          <t>кг</t>
        </is>
      </c>
      <c r="F64" s="376" t="n">
        <v>0.4646</v>
      </c>
      <c r="G64" s="277" t="n">
        <v>28.6</v>
      </c>
      <c r="H64" s="277">
        <f>ROUND(F64*G64,2)</f>
        <v/>
      </c>
    </row>
    <row r="65">
      <c r="A65" s="285" t="n">
        <v>51</v>
      </c>
      <c r="B65" s="341" t="n"/>
      <c r="C65" s="280" t="inlineStr">
        <is>
          <t>08.3.03.06-0001</t>
        </is>
      </c>
      <c r="D65" s="281" t="inlineStr">
        <is>
          <t>Проволока вязальная</t>
        </is>
      </c>
      <c r="E65" s="376" t="inlineStr">
        <is>
          <t>кг</t>
        </is>
      </c>
      <c r="F65" s="376" t="n">
        <v>1.2936</v>
      </c>
      <c r="G65" s="277" t="n">
        <v>9.5</v>
      </c>
      <c r="H65" s="277">
        <f>ROUND(F65*G65,2)</f>
        <v/>
      </c>
    </row>
    <row r="66">
      <c r="A66" s="285" t="n">
        <v>52</v>
      </c>
      <c r="B66" s="341" t="n"/>
      <c r="C66" s="280" t="inlineStr">
        <is>
          <t>14.5.09.11-0102</t>
        </is>
      </c>
      <c r="D66" s="281" t="inlineStr">
        <is>
          <t>Уайт-спирит</t>
        </is>
      </c>
      <c r="E66" s="376" t="inlineStr">
        <is>
          <t>кг</t>
        </is>
      </c>
      <c r="F66" s="376" t="n">
        <v>1.5</v>
      </c>
      <c r="G66" s="277" t="n">
        <v>6.67</v>
      </c>
      <c r="H66" s="277">
        <f>ROUND(F66*G66,2)</f>
        <v/>
      </c>
    </row>
    <row r="67">
      <c r="A67" s="285" t="n">
        <v>53</v>
      </c>
      <c r="B67" s="341" t="n"/>
      <c r="C67" s="280" t="inlineStr">
        <is>
          <t>01.3.01.06-0046</t>
        </is>
      </c>
      <c r="D67" s="281" t="inlineStr">
        <is>
          <t>Смазка солидол жировой марки «Ж»</t>
        </is>
      </c>
      <c r="E67" s="376" t="inlineStr">
        <is>
          <t>т</t>
        </is>
      </c>
      <c r="F67" s="376" t="n">
        <v>0.001</v>
      </c>
      <c r="G67" s="277" t="n">
        <v>9661.5</v>
      </c>
      <c r="H67" s="277">
        <f>ROUND(F67*G67,2)</f>
        <v/>
      </c>
    </row>
    <row r="68">
      <c r="A68" s="285" t="n">
        <v>54</v>
      </c>
      <c r="B68" s="341" t="n"/>
      <c r="C68" s="280" t="inlineStr">
        <is>
          <t>01.3.01.01-0010</t>
        </is>
      </c>
      <c r="D68" s="281" t="inlineStr">
        <is>
          <t>Бензин-растворитель</t>
        </is>
      </c>
      <c r="E68" s="376" t="inlineStr">
        <is>
          <t>кг</t>
        </is>
      </c>
      <c r="F68" s="376" t="n">
        <v>0.8</v>
      </c>
      <c r="G68" s="277" t="n">
        <v>6.15</v>
      </c>
      <c r="H68" s="277">
        <f>ROUND(F68*G68,2)</f>
        <v/>
      </c>
    </row>
    <row r="69">
      <c r="A69" s="285" t="n">
        <v>55</v>
      </c>
      <c r="B69" s="341" t="n"/>
      <c r="C69" s="280" t="inlineStr">
        <is>
          <t>01.7.20.08-0051</t>
        </is>
      </c>
      <c r="D69" s="281" t="inlineStr">
        <is>
          <t>Ветошь</t>
        </is>
      </c>
      <c r="E69" s="376" t="inlineStr">
        <is>
          <t>кг</t>
        </is>
      </c>
      <c r="F69" s="376" t="n">
        <v>1.3626</v>
      </c>
      <c r="G69" s="277" t="n">
        <v>1.82</v>
      </c>
      <c r="H69" s="277">
        <f>ROUND(F69*G69,2)</f>
        <v/>
      </c>
    </row>
    <row r="70" ht="25.5" customHeight="1" s="304">
      <c r="A70" s="285" t="n">
        <v>56</v>
      </c>
      <c r="B70" s="341" t="n"/>
      <c r="C70" s="280" t="inlineStr">
        <is>
          <t>999-9950</t>
        </is>
      </c>
      <c r="D70" s="281" t="inlineStr">
        <is>
          <t>Вспомогательные ненормируемые ресурсы (2% от Оплаты труда рабочих)</t>
        </is>
      </c>
      <c r="E70" s="376" t="inlineStr">
        <is>
          <t>руб.</t>
        </is>
      </c>
      <c r="F70" s="295" t="n">
        <v>0.6969</v>
      </c>
      <c r="G70" s="277" t="n">
        <v>1</v>
      </c>
      <c r="H70" s="277">
        <f>ROUND(F70*G70,2)</f>
        <v/>
      </c>
    </row>
    <row r="73">
      <c r="B73" s="307" t="inlineStr">
        <is>
          <t>Составил ______________________     Е. М. Добровольская</t>
        </is>
      </c>
    </row>
    <row r="74">
      <c r="B74" s="298" t="inlineStr">
        <is>
          <t xml:space="preserve">                         (подпись, инициалы, фамилия)</t>
        </is>
      </c>
    </row>
    <row r="76">
      <c r="B76" s="307" t="inlineStr">
        <is>
          <t>Проверил ______________________        А.В. Костянецкая</t>
        </is>
      </c>
    </row>
    <row r="77">
      <c r="B77" s="298" t="inlineStr">
        <is>
          <t xml:space="preserve">                        (подпись, инициалы, фамилия)</t>
        </is>
      </c>
    </row>
  </sheetData>
  <mergeCells count="15">
    <mergeCell ref="A30:E30"/>
    <mergeCell ref="A21:E21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4.4"/>
  <cols>
    <col width="4.109375" customWidth="1" style="304" min="1" max="1"/>
    <col width="36.33203125" customWidth="1" style="304" min="2" max="2"/>
    <col width="18.88671875" customWidth="1" style="304" min="3" max="3"/>
    <col width="18.33203125" customWidth="1" style="304" min="4" max="4"/>
    <col width="18.88671875" customWidth="1" style="304" min="5" max="5"/>
    <col width="9.109375" customWidth="1" style="304" min="6" max="6"/>
    <col width="13.44140625" customWidth="1" style="304" min="7" max="7"/>
    <col width="9.109375" customWidth="1" style="304" min="8" max="11"/>
    <col width="13.5546875" customWidth="1" style="304" min="12" max="12"/>
    <col width="9.109375" customWidth="1" style="304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371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17" t="inlineStr">
        <is>
          <t>Ресурсная модель</t>
        </is>
      </c>
    </row>
    <row r="6">
      <c r="B6" s="266" t="n"/>
      <c r="C6" s="311" t="n"/>
      <c r="D6" s="311" t="n"/>
      <c r="E6" s="311" t="n"/>
    </row>
    <row r="7" ht="25.5" customHeight="1" s="304">
      <c r="B7" s="344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8">
      <c r="B8" s="345" t="inlineStr">
        <is>
          <t>Единица измерения  — 1 тн опор</t>
        </is>
      </c>
    </row>
    <row r="9">
      <c r="B9" s="266" t="n"/>
      <c r="C9" s="311" t="n"/>
      <c r="D9" s="311" t="n"/>
      <c r="E9" s="311" t="n"/>
    </row>
    <row r="10" ht="51" customHeight="1" s="304">
      <c r="B10" s="349" t="inlineStr">
        <is>
          <t>Наименование</t>
        </is>
      </c>
      <c r="C10" s="349" t="inlineStr">
        <is>
          <t>Сметная стоимость в ценах на 01.01.2023
 (руб.)</t>
        </is>
      </c>
      <c r="D10" s="349" t="inlineStr">
        <is>
          <t>Удельный вес, 
(в СМР)</t>
        </is>
      </c>
      <c r="E10" s="349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59">
        <f>'Прил.5 Расчет СМР и ОБ'!J15</f>
        <v/>
      </c>
      <c r="D11" s="260">
        <f>C11/$C$24</f>
        <v/>
      </c>
      <c r="E11" s="260">
        <f>C11/$C$40</f>
        <v/>
      </c>
    </row>
    <row r="12">
      <c r="B12" s="258" t="inlineStr">
        <is>
          <t>Эксплуатация машин основных</t>
        </is>
      </c>
      <c r="C12" s="259">
        <f>'Прил.5 Расчет СМР и ОБ'!J24</f>
        <v/>
      </c>
      <c r="D12" s="260">
        <f>C12/$C$24</f>
        <v/>
      </c>
      <c r="E12" s="260">
        <f>C12/$C$40</f>
        <v/>
      </c>
    </row>
    <row r="13">
      <c r="B13" s="258" t="inlineStr">
        <is>
          <t>Эксплуатация машин прочих</t>
        </is>
      </c>
      <c r="C13" s="259">
        <f>'Прил.5 Расчет СМР и ОБ'!J29</f>
        <v/>
      </c>
      <c r="D13" s="260">
        <f>C13/$C$24</f>
        <v/>
      </c>
      <c r="E13" s="260">
        <f>C13/$C$40</f>
        <v/>
      </c>
    </row>
    <row r="14">
      <c r="B14" s="258" t="inlineStr">
        <is>
          <t>ЭКСПЛУАТАЦИЯ МАШИН, ВСЕГО:</t>
        </is>
      </c>
      <c r="C14" s="259">
        <f>C13+C12</f>
        <v/>
      </c>
      <c r="D14" s="260">
        <f>C14/$C$24</f>
        <v/>
      </c>
      <c r="E14" s="260">
        <f>C14/$C$40</f>
        <v/>
      </c>
    </row>
    <row r="15">
      <c r="B15" s="258" t="inlineStr">
        <is>
          <t>в том числе зарплата машинистов</t>
        </is>
      </c>
      <c r="C15" s="259">
        <f>'Прил.5 Расчет СМР и ОБ'!J17</f>
        <v/>
      </c>
      <c r="D15" s="260">
        <f>C15/$C$24</f>
        <v/>
      </c>
      <c r="E15" s="260">
        <f>C15/$C$40</f>
        <v/>
      </c>
    </row>
    <row r="16">
      <c r="B16" s="258" t="inlineStr">
        <is>
          <t>Материалы основные</t>
        </is>
      </c>
      <c r="C16" s="259">
        <f>'Прил.5 Расчет СМР и ОБ'!J46</f>
        <v/>
      </c>
      <c r="D16" s="260">
        <f>C16/$C$24</f>
        <v/>
      </c>
      <c r="E16" s="260">
        <f>C16/$C$40</f>
        <v/>
      </c>
    </row>
    <row r="17">
      <c r="B17" s="258" t="inlineStr">
        <is>
          <t>Материалы прочие</t>
        </is>
      </c>
      <c r="C17" s="259">
        <f>'Прил.5 Расчет СМР и ОБ'!J80</f>
        <v/>
      </c>
      <c r="D17" s="260">
        <f>C17/$C$24</f>
        <v/>
      </c>
      <c r="E17" s="260">
        <f>C17/$C$40</f>
        <v/>
      </c>
      <c r="G17" s="264" t="n"/>
    </row>
    <row r="18">
      <c r="B18" s="258" t="inlineStr">
        <is>
          <t>МАТЕРИАЛЫ, ВСЕГО:</t>
        </is>
      </c>
      <c r="C18" s="259">
        <f>C17+C16</f>
        <v/>
      </c>
      <c r="D18" s="260">
        <f>C18/$C$24</f>
        <v/>
      </c>
      <c r="E18" s="260">
        <f>C18/$C$40</f>
        <v/>
      </c>
    </row>
    <row r="19">
      <c r="B19" s="258" t="inlineStr">
        <is>
          <t>ИТОГО</t>
        </is>
      </c>
      <c r="C19" s="259">
        <f>C18+C14+C11</f>
        <v/>
      </c>
      <c r="D19" s="260" t="n"/>
      <c r="E19" s="258" t="n"/>
    </row>
    <row r="20">
      <c r="B20" s="258" t="inlineStr">
        <is>
          <t>Сметная прибыль, руб.</t>
        </is>
      </c>
      <c r="C20" s="259">
        <f>ROUND(C21*(C11+C15),2)</f>
        <v/>
      </c>
      <c r="D20" s="260">
        <f>C20/$C$24</f>
        <v/>
      </c>
      <c r="E20" s="260">
        <f>C20/$C$40</f>
        <v/>
      </c>
    </row>
    <row r="21">
      <c r="B21" s="258" t="inlineStr">
        <is>
          <t>Сметная прибыль, %</t>
        </is>
      </c>
      <c r="C21" s="263">
        <f>'Прил.5 Расчет СМР и ОБ'!D84</f>
        <v/>
      </c>
      <c r="D21" s="260" t="n"/>
      <c r="E21" s="258" t="n"/>
    </row>
    <row r="22">
      <c r="B22" s="258" t="inlineStr">
        <is>
          <t>Накладные расходы, руб.</t>
        </is>
      </c>
      <c r="C22" s="259">
        <f>ROUND(C23*(C11+C15),2)</f>
        <v/>
      </c>
      <c r="D22" s="260">
        <f>C22/$C$24</f>
        <v/>
      </c>
      <c r="E22" s="260">
        <f>C22/$C$40</f>
        <v/>
      </c>
    </row>
    <row r="23">
      <c r="B23" s="258" t="inlineStr">
        <is>
          <t>Накладные расходы, %</t>
        </is>
      </c>
      <c r="C23" s="263">
        <f>'Прил.5 Расчет СМР и ОБ'!D83</f>
        <v/>
      </c>
      <c r="D23" s="260" t="n"/>
      <c r="E23" s="258" t="n"/>
    </row>
    <row r="24">
      <c r="B24" s="258" t="inlineStr">
        <is>
          <t>ВСЕГО СМР с НР и СП</t>
        </is>
      </c>
      <c r="C24" s="259">
        <f>C19+C20+C22</f>
        <v/>
      </c>
      <c r="D24" s="260">
        <f>C24/$C$24</f>
        <v/>
      </c>
      <c r="E24" s="260">
        <f>C24/$C$40</f>
        <v/>
      </c>
    </row>
    <row r="25" ht="25.5" customHeight="1" s="304">
      <c r="B25" s="258" t="inlineStr">
        <is>
          <t>ВСЕГО стоимость оборудования, в том числе</t>
        </is>
      </c>
      <c r="C25" s="259">
        <f>'Прил.5 Расчет СМР и ОБ'!J35</f>
        <v/>
      </c>
      <c r="D25" s="260" t="n"/>
      <c r="E25" s="260">
        <f>C25/$C$40</f>
        <v/>
      </c>
    </row>
    <row r="26" ht="25.5" customHeight="1" s="304">
      <c r="B26" s="258" t="inlineStr">
        <is>
          <t>стоимость оборудования технологического</t>
        </is>
      </c>
      <c r="C26" s="259">
        <f>'Прил.5 Расчет СМР и ОБ'!J36</f>
        <v/>
      </c>
      <c r="D26" s="260" t="n"/>
      <c r="E26" s="260">
        <f>C26/$C$40</f>
        <v/>
      </c>
    </row>
    <row r="27">
      <c r="B27" s="258" t="inlineStr">
        <is>
          <t>ИТОГО (СМР + ОБОРУДОВАНИЕ)</t>
        </is>
      </c>
      <c r="C27" s="262">
        <f>C24+C25</f>
        <v/>
      </c>
      <c r="D27" s="260" t="n"/>
      <c r="E27" s="260">
        <f>C27/$C$40</f>
        <v/>
      </c>
      <c r="G27" s="261" t="n"/>
    </row>
    <row r="28" ht="33" customHeight="1" s="304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</row>
    <row r="29" ht="25.5" customHeight="1" s="304">
      <c r="B29" s="258" t="inlineStr">
        <is>
          <t>Временные здания и сооружения - 2,5%</t>
        </is>
      </c>
      <c r="C29" s="262">
        <f>ROUND(C24*2.5%,2)</f>
        <v/>
      </c>
      <c r="D29" s="258" t="n"/>
      <c r="E29" s="260" t="n">
        <v>0.025</v>
      </c>
    </row>
    <row r="30" ht="38.25" customHeight="1" s="304">
      <c r="B30" s="258" t="inlineStr">
        <is>
          <t>Дополнительные затраты при производстве строительно-монтажных работ в зимнее время - 1,9%</t>
        </is>
      </c>
      <c r="C30" s="262">
        <f>ROUND((C24+C29)*1.9%,2)</f>
        <v/>
      </c>
      <c r="D30" s="258" t="n"/>
      <c r="E30" s="260" t="n">
        <v>0.019</v>
      </c>
    </row>
    <row r="31">
      <c r="B31" s="258" t="inlineStr">
        <is>
          <t>Пусконаладочные работы</t>
        </is>
      </c>
      <c r="C31" s="262" t="n">
        <v>0</v>
      </c>
      <c r="D31" s="258" t="n"/>
      <c r="E31" s="260">
        <f>C31/$C$40</f>
        <v/>
      </c>
    </row>
    <row r="32" ht="25.5" customHeight="1" s="304">
      <c r="B32" s="258" t="inlineStr">
        <is>
          <t>Затраты по перевозке работников к месту работы и обратно</t>
        </is>
      </c>
      <c r="C32" s="262" t="n">
        <v>0</v>
      </c>
      <c r="D32" s="258" t="n"/>
      <c r="E32" s="260">
        <f>C32/$C$40</f>
        <v/>
      </c>
    </row>
    <row r="33" ht="25.5" customHeight="1" s="304">
      <c r="B33" s="258" t="inlineStr">
        <is>
          <t>Затраты, связанные с осуществлением работ вахтовым методом</t>
        </is>
      </c>
      <c r="C33" s="262">
        <f>ROUND(C27*0%,2)</f>
        <v/>
      </c>
      <c r="D33" s="258" t="n"/>
      <c r="E33" s="260">
        <f>C33/$C$40</f>
        <v/>
      </c>
    </row>
    <row r="34" ht="51" customHeight="1" s="304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2" t="n">
        <v>0</v>
      </c>
      <c r="D34" s="258" t="n"/>
      <c r="E34" s="260">
        <f>C34/$C$40</f>
        <v/>
      </c>
    </row>
    <row r="35" ht="76.5" customHeight="1" s="304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2">
        <f>ROUND(C27*0%,2)</f>
        <v/>
      </c>
      <c r="D35" s="258" t="n"/>
      <c r="E35" s="260">
        <f>C35/$C$40</f>
        <v/>
      </c>
    </row>
    <row r="36" ht="25.5" customHeight="1" s="304">
      <c r="B36" s="258" t="inlineStr">
        <is>
          <t>Строительный контроль и содержание службы заказчика - 2,14%</t>
        </is>
      </c>
      <c r="C36" s="262">
        <f>ROUND((C27+C32+C33+C34+C35+C29+C31+C30)*2.14%,2)</f>
        <v/>
      </c>
      <c r="D36" s="258" t="n"/>
      <c r="E36" s="260">
        <f>C36/$C$40</f>
        <v/>
      </c>
      <c r="L36" s="261" t="n"/>
    </row>
    <row r="37">
      <c r="B37" s="258" t="inlineStr">
        <is>
          <t>Авторский надзор - 0,2%</t>
        </is>
      </c>
      <c r="C37" s="262">
        <f>ROUND((C27+C32+C33+C34+C35+C29+C31+C30)*0.2%,2)</f>
        <v/>
      </c>
      <c r="D37" s="258" t="n"/>
      <c r="E37" s="260">
        <f>C37/$C$40</f>
        <v/>
      </c>
      <c r="L37" s="261" t="n"/>
    </row>
    <row r="38" ht="38.25" customHeight="1" s="304">
      <c r="B38" s="258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258" t="n"/>
      <c r="E38" s="260">
        <f>C38/$C$40</f>
        <v/>
      </c>
    </row>
    <row r="39" ht="13.5" customHeight="1" s="304">
      <c r="B39" s="258" t="inlineStr">
        <is>
          <t>Непредвиденные расходы</t>
        </is>
      </c>
      <c r="C39" s="259">
        <f>ROUND(C38*3%,2)</f>
        <v/>
      </c>
      <c r="D39" s="258" t="n"/>
      <c r="E39" s="260">
        <f>C39/$C$38</f>
        <v/>
      </c>
    </row>
    <row r="40">
      <c r="B40" s="258" t="inlineStr">
        <is>
          <t>ВСЕГО:</t>
        </is>
      </c>
      <c r="C40" s="259">
        <f>C39+C38</f>
        <v/>
      </c>
      <c r="D40" s="258" t="n"/>
      <c r="E40" s="260">
        <f>C40/$C$40</f>
        <v/>
      </c>
    </row>
    <row r="41">
      <c r="B41" s="258" t="inlineStr">
        <is>
          <t>ИТОГО ПОКАЗАТЕЛЬ НА ЕД. ИЗМ.</t>
        </is>
      </c>
      <c r="C41" s="259">
        <f>C40/'Прил.5 Расчет СМР и ОБ'!E87</f>
        <v/>
      </c>
      <c r="D41" s="258" t="n"/>
      <c r="E41" s="258" t="n"/>
    </row>
    <row r="42">
      <c r="B42" s="257" t="n"/>
      <c r="C42" s="311" t="n"/>
      <c r="D42" s="311" t="n"/>
      <c r="E42" s="311" t="n"/>
    </row>
    <row r="43">
      <c r="B43" s="257" t="inlineStr">
        <is>
          <t>Составил ____________________________  Е. М. Добровольская</t>
        </is>
      </c>
      <c r="C43" s="311" t="n"/>
      <c r="D43" s="311" t="n"/>
      <c r="E43" s="311" t="n"/>
    </row>
    <row r="44">
      <c r="B44" s="257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257" t="n"/>
      <c r="C45" s="311" t="n"/>
      <c r="D45" s="311" t="n"/>
      <c r="E45" s="311" t="n"/>
    </row>
    <row r="46">
      <c r="B46" s="257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45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93"/>
  <sheetViews>
    <sheetView view="pageBreakPreview" workbookViewId="0">
      <selection activeCell="C89" sqref="C89"/>
    </sheetView>
  </sheetViews>
  <sheetFormatPr baseColWidth="8" defaultColWidth="9.109375" defaultRowHeight="14.4" outlineLevelRow="1"/>
  <cols>
    <col width="5.6640625" customWidth="1" style="312" min="1" max="1"/>
    <col width="22.5546875" customWidth="1" style="312" min="2" max="2"/>
    <col width="39.109375" customWidth="1" style="312" min="3" max="3"/>
    <col width="10.6640625" customWidth="1" style="312" min="4" max="4"/>
    <col width="12.6640625" customWidth="1" style="312" min="5" max="5"/>
    <col width="14.5546875" customWidth="1" style="312" min="6" max="6"/>
    <col width="13.44140625" customWidth="1" style="312" min="7" max="7"/>
    <col width="12.6640625" customWidth="1" style="312" min="8" max="8"/>
    <col width="13.88671875" customWidth="1" style="312" min="9" max="9"/>
    <col width="17.5546875" customWidth="1" style="312" min="10" max="10"/>
    <col width="10.88671875" customWidth="1" style="312" min="11" max="11"/>
    <col width="13.88671875" customWidth="1" style="312" min="12" max="12"/>
    <col width="9.109375" customWidth="1" style="304" min="13" max="13"/>
  </cols>
  <sheetData>
    <row r="1" s="304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04">
      <c r="A2" s="312" t="n"/>
      <c r="B2" s="312" t="n"/>
      <c r="C2" s="312" t="n"/>
      <c r="D2" s="312" t="n"/>
      <c r="E2" s="312" t="n"/>
      <c r="F2" s="312" t="n"/>
      <c r="G2" s="312" t="n"/>
      <c r="H2" s="346" t="inlineStr">
        <is>
          <t>Приложение №5</t>
        </is>
      </c>
      <c r="K2" s="312" t="n"/>
      <c r="L2" s="312" t="n"/>
      <c r="M2" s="312" t="n"/>
      <c r="N2" s="312" t="n"/>
    </row>
    <row r="3" s="304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11">
      <c r="A4" s="317" t="inlineStr">
        <is>
          <t>Расчет стоимости СМР и оборудования</t>
        </is>
      </c>
    </row>
    <row r="5" ht="12.75" customFormat="1" customHeight="1" s="311">
      <c r="A5" s="317" t="n"/>
      <c r="B5" s="317" t="n"/>
      <c r="C5" s="379" t="n"/>
      <c r="D5" s="317" t="n"/>
      <c r="E5" s="317" t="n"/>
      <c r="F5" s="317" t="n"/>
      <c r="G5" s="317" t="n"/>
      <c r="H5" s="317" t="n"/>
      <c r="I5" s="317" t="n"/>
      <c r="J5" s="317" t="n"/>
    </row>
    <row r="6" ht="27" customFormat="1" customHeight="1" s="311">
      <c r="A6" s="300" t="inlineStr">
        <is>
          <t>Наименование разрабатываемого показателя УНЦ</t>
        </is>
      </c>
      <c r="B6" s="352" t="n"/>
      <c r="C6" s="225" t="n"/>
      <c r="D6" s="352" t="inlineStr">
        <is>
          <t>Строительно-монтажные работы ВЛ 0,4-750 кВ без опор и провода. Одноцепная, все типы опор за исключением многогранных 6-20 кВ.</t>
        </is>
      </c>
    </row>
    <row r="7" ht="12.75" customFormat="1" customHeight="1" s="311">
      <c r="A7" s="320" t="inlineStr">
        <is>
          <t>Единица измерения  — 1 тн опор</t>
        </is>
      </c>
      <c r="I7" s="344" t="n"/>
      <c r="J7" s="344" t="n"/>
    </row>
    <row r="8" ht="13.5" customFormat="1" customHeight="1" s="311">
      <c r="A8" s="320" t="n"/>
    </row>
    <row r="9" ht="13.2" customFormat="1" customHeight="1" s="311"/>
    <row r="10" ht="27" customHeight="1" s="304">
      <c r="A10" s="349" t="inlineStr">
        <is>
          <t>№ пп.</t>
        </is>
      </c>
      <c r="B10" s="349" t="inlineStr">
        <is>
          <t>Код ресурса</t>
        </is>
      </c>
      <c r="C10" s="349" t="inlineStr">
        <is>
          <t>Наименование</t>
        </is>
      </c>
      <c r="D10" s="349" t="inlineStr">
        <is>
          <t>Ед. изм.</t>
        </is>
      </c>
      <c r="E10" s="349" t="inlineStr">
        <is>
          <t>Кол-во единиц по проектным данным</t>
        </is>
      </c>
      <c r="F10" s="349" t="inlineStr">
        <is>
          <t>Сметная стоимость в ценах на 01.01.2000 (руб.)</t>
        </is>
      </c>
      <c r="G10" s="424" t="n"/>
      <c r="H10" s="349" t="inlineStr">
        <is>
          <t>Удельный вес, %</t>
        </is>
      </c>
      <c r="I10" s="349" t="inlineStr">
        <is>
          <t>Сметная стоимость в ценах на 01.01.2023 (руб.)</t>
        </is>
      </c>
      <c r="J10" s="424" t="n"/>
      <c r="K10" s="312" t="n"/>
      <c r="L10" s="312" t="n"/>
      <c r="M10" s="312" t="n"/>
      <c r="N10" s="312" t="n"/>
    </row>
    <row r="11" ht="28.5" customHeight="1" s="304">
      <c r="A11" s="426" t="n"/>
      <c r="B11" s="426" t="n"/>
      <c r="C11" s="426" t="n"/>
      <c r="D11" s="426" t="n"/>
      <c r="E11" s="426" t="n"/>
      <c r="F11" s="349" t="inlineStr">
        <is>
          <t>на ед. изм.</t>
        </is>
      </c>
      <c r="G11" s="349" t="inlineStr">
        <is>
          <t>общая</t>
        </is>
      </c>
      <c r="H11" s="426" t="n"/>
      <c r="I11" s="349" t="inlineStr">
        <is>
          <t>на ед. изм.</t>
        </is>
      </c>
      <c r="J11" s="349" t="inlineStr">
        <is>
          <t>общая</t>
        </is>
      </c>
      <c r="K11" s="312" t="n"/>
      <c r="L11" s="312" t="n"/>
      <c r="M11" s="312" t="n"/>
      <c r="N11" s="312" t="n"/>
    </row>
    <row r="12" s="304">
      <c r="A12" s="349" t="n">
        <v>1</v>
      </c>
      <c r="B12" s="349" t="n">
        <v>2</v>
      </c>
      <c r="C12" s="349" t="n">
        <v>3</v>
      </c>
      <c r="D12" s="349" t="n">
        <v>4</v>
      </c>
      <c r="E12" s="349" t="n">
        <v>5</v>
      </c>
      <c r="F12" s="349" t="n">
        <v>6</v>
      </c>
      <c r="G12" s="349" t="n">
        <v>7</v>
      </c>
      <c r="H12" s="349" t="n">
        <v>8</v>
      </c>
      <c r="I12" s="350" t="n">
        <v>9</v>
      </c>
      <c r="J12" s="350" t="n">
        <v>10</v>
      </c>
      <c r="K12" s="312" t="n"/>
      <c r="L12" s="312" t="n"/>
      <c r="M12" s="312" t="n"/>
      <c r="N12" s="312" t="n"/>
    </row>
    <row r="13">
      <c r="A13" s="349" t="n"/>
      <c r="B13" s="339" t="inlineStr">
        <is>
          <t>Затраты труда рабочих-строителей</t>
        </is>
      </c>
      <c r="C13" s="423" t="n"/>
      <c r="D13" s="423" t="n"/>
      <c r="E13" s="423" t="n"/>
      <c r="F13" s="423" t="n"/>
      <c r="G13" s="423" t="n"/>
      <c r="H13" s="424" t="n"/>
      <c r="I13" s="212" t="n"/>
      <c r="J13" s="212" t="n"/>
    </row>
    <row r="14" ht="25.5" customHeight="1" s="304">
      <c r="A14" s="349" t="n">
        <v>1</v>
      </c>
      <c r="B14" s="223" t="inlineStr">
        <is>
          <t>1-3-4</t>
        </is>
      </c>
      <c r="C14" s="357" t="inlineStr">
        <is>
          <t>Затраты труда рабочих-строителей среднего разряда (3,4)</t>
        </is>
      </c>
      <c r="D14" s="349" t="inlineStr">
        <is>
          <t>чел.-ч.</t>
        </is>
      </c>
      <c r="E14" s="221">
        <f>G14/F14</f>
        <v/>
      </c>
      <c r="F14" s="219" t="n">
        <v>8.970000000000001</v>
      </c>
      <c r="G14" s="219">
        <f>'Прил. 3'!H11</f>
        <v/>
      </c>
      <c r="H14" s="296">
        <f>G14/G15</f>
        <v/>
      </c>
      <c r="I14" s="219">
        <f>ФОТр.тек.!E13</f>
        <v/>
      </c>
      <c r="J14" s="219">
        <f>ROUND(I14*E14,2)</f>
        <v/>
      </c>
    </row>
    <row r="15" ht="25.5" customFormat="1" customHeight="1" s="312">
      <c r="A15" s="349" t="n"/>
      <c r="B15" s="349" t="n"/>
      <c r="C15" s="339" t="inlineStr">
        <is>
          <t>Итого по разделу "Затраты труда рабочих-строителей"</t>
        </is>
      </c>
      <c r="D15" s="349" t="inlineStr">
        <is>
          <t>чел.-ч.</t>
        </is>
      </c>
      <c r="E15" s="221">
        <f>SUM(E14:E14)</f>
        <v/>
      </c>
      <c r="F15" s="219" t="n"/>
      <c r="G15" s="219">
        <f>SUM(G14:G14)</f>
        <v/>
      </c>
      <c r="H15" s="360" t="n">
        <v>1</v>
      </c>
      <c r="I15" s="212" t="n"/>
      <c r="J15" s="219">
        <f>SUM(J14:J14)</f>
        <v/>
      </c>
    </row>
    <row r="16" ht="14.25" customFormat="1" customHeight="1" s="312">
      <c r="A16" s="349" t="n"/>
      <c r="B16" s="357" t="inlineStr">
        <is>
          <t>Затраты труда машинистов</t>
        </is>
      </c>
      <c r="C16" s="423" t="n"/>
      <c r="D16" s="423" t="n"/>
      <c r="E16" s="423" t="n"/>
      <c r="F16" s="423" t="n"/>
      <c r="G16" s="423" t="n"/>
      <c r="H16" s="424" t="n"/>
      <c r="I16" s="212" t="n"/>
      <c r="J16" s="212" t="n"/>
    </row>
    <row r="17" ht="14.25" customFormat="1" customHeight="1" s="312">
      <c r="A17" s="349" t="n">
        <v>2</v>
      </c>
      <c r="B17" s="349" t="n">
        <v>2</v>
      </c>
      <c r="C17" s="357" t="inlineStr">
        <is>
          <t>Затраты труда машинистов</t>
        </is>
      </c>
      <c r="D17" s="349" t="inlineStr">
        <is>
          <t>чел.-ч.</t>
        </is>
      </c>
      <c r="E17" s="221">
        <f>'Прил. 3'!F20</f>
        <v/>
      </c>
      <c r="F17" s="219">
        <f>G17/E17</f>
        <v/>
      </c>
      <c r="G17" s="219">
        <f>'Прил. 3'!H19</f>
        <v/>
      </c>
      <c r="H17" s="360" t="n">
        <v>1</v>
      </c>
      <c r="I17" s="219">
        <f>ROUND(F17*'Прил. 10'!D11,2)</f>
        <v/>
      </c>
      <c r="J17" s="219">
        <f>ROUND(I17*E17,2)</f>
        <v/>
      </c>
    </row>
    <row r="18" ht="14.25" customFormat="1" customHeight="1" s="312">
      <c r="A18" s="349" t="n"/>
      <c r="B18" s="339" t="inlineStr">
        <is>
          <t>Машины и механизмы</t>
        </is>
      </c>
      <c r="C18" s="423" t="n"/>
      <c r="D18" s="423" t="n"/>
      <c r="E18" s="423" t="n"/>
      <c r="F18" s="423" t="n"/>
      <c r="G18" s="423" t="n"/>
      <c r="H18" s="424" t="n"/>
      <c r="I18" s="212" t="n"/>
      <c r="J18" s="212" t="n"/>
    </row>
    <row r="19" ht="14.25" customFormat="1" customHeight="1" s="312">
      <c r="A19" s="349" t="n"/>
      <c r="B19" s="357" t="inlineStr">
        <is>
          <t>Основные машины и механизмы</t>
        </is>
      </c>
      <c r="C19" s="423" t="n"/>
      <c r="D19" s="423" t="n"/>
      <c r="E19" s="423" t="n"/>
      <c r="F19" s="423" t="n"/>
      <c r="G19" s="423" t="n"/>
      <c r="H19" s="424" t="n"/>
      <c r="I19" s="212" t="n"/>
      <c r="J19" s="212" t="n"/>
    </row>
    <row r="20" ht="25.5" customFormat="1" customHeight="1" s="312">
      <c r="A20" s="349" t="n">
        <v>3</v>
      </c>
      <c r="B20" s="223" t="inlineStr">
        <is>
          <t>91.04.01-031</t>
        </is>
      </c>
      <c r="C20" s="357" t="inlineStr">
        <is>
          <t>Машины бурильно-крановые на автомобиле, глубина бурения 3,5 м</t>
        </is>
      </c>
      <c r="D20" s="349" t="inlineStr">
        <is>
          <t>маш.-ч</t>
        </is>
      </c>
      <c r="E20" s="221" t="n">
        <v>37.32</v>
      </c>
      <c r="F20" s="359" t="n">
        <v>138.54</v>
      </c>
      <c r="G20" s="219">
        <f>ROUND(E20*F20,2)</f>
        <v/>
      </c>
      <c r="H20" s="296">
        <f>G20/$G$30</f>
        <v/>
      </c>
      <c r="I20" s="219">
        <f>ROUND(F20*'Прил. 10'!$D$12,2)</f>
        <v/>
      </c>
      <c r="J20" s="219">
        <f>ROUND(I20*E20,2)</f>
        <v/>
      </c>
    </row>
    <row r="21" ht="25.5" customFormat="1" customHeight="1" s="312">
      <c r="A21" s="349" t="n">
        <v>4</v>
      </c>
      <c r="B21" s="223" t="inlineStr">
        <is>
          <t>91.06.06-011</t>
        </is>
      </c>
      <c r="C21" s="357" t="inlineStr">
        <is>
          <t>Автогидроподъемники, высота подъема 12 м</t>
        </is>
      </c>
      <c r="D21" s="349" t="inlineStr">
        <is>
          <t>маш.-ч</t>
        </is>
      </c>
      <c r="E21" s="221" t="n">
        <v>35.64</v>
      </c>
      <c r="F21" s="359" t="n">
        <v>82.22</v>
      </c>
      <c r="G21" s="219">
        <f>ROUND(E21*F21,2)</f>
        <v/>
      </c>
      <c r="H21" s="296">
        <f>G21/$G$30</f>
        <v/>
      </c>
      <c r="I21" s="219">
        <f>ROUND(F21*'Прил. 10'!$D$12,2)</f>
        <v/>
      </c>
      <c r="J21" s="219">
        <f>ROUND(I21*E21,2)</f>
        <v/>
      </c>
    </row>
    <row r="22" ht="30" customFormat="1" customHeight="1" s="312">
      <c r="A22" s="349" t="n">
        <v>5</v>
      </c>
      <c r="B22" s="223" t="inlineStr">
        <is>
          <t>91.05.05-014</t>
        </is>
      </c>
      <c r="C22" s="357" t="inlineStr">
        <is>
          <t>Краны на автомобильном ходу, грузоподъемность 10 т</t>
        </is>
      </c>
      <c r="D22" s="349" t="inlineStr">
        <is>
          <t>маш.-ч</t>
        </is>
      </c>
      <c r="E22" s="221" t="n">
        <v>13.56</v>
      </c>
      <c r="F22" s="359" t="n">
        <v>111.99</v>
      </c>
      <c r="G22" s="219">
        <f>ROUND(E22*F22,2)</f>
        <v/>
      </c>
      <c r="H22" s="296">
        <f>G22/$G$30</f>
        <v/>
      </c>
      <c r="I22" s="219">
        <f>ROUND(F22*'Прил. 10'!$D$12,2)</f>
        <v/>
      </c>
      <c r="J22" s="219">
        <f>ROUND(I22*E22,2)</f>
        <v/>
      </c>
    </row>
    <row r="23" ht="25.5" customFormat="1" customHeight="1" s="312">
      <c r="A23" s="349" t="n">
        <v>6</v>
      </c>
      <c r="B23" s="223" t="inlineStr">
        <is>
          <t>91.15.03-014</t>
        </is>
      </c>
      <c r="C23" s="357" t="inlineStr">
        <is>
          <t>Тракторы на пневмоколесном ходу, мощность 59 кВт (80 л.с.)</t>
        </is>
      </c>
      <c r="D23" s="349" t="inlineStr">
        <is>
          <t>маш.-ч</t>
        </is>
      </c>
      <c r="E23" s="221" t="n">
        <v>19.24</v>
      </c>
      <c r="F23" s="359" t="n">
        <v>74.61</v>
      </c>
      <c r="G23" s="219">
        <f>ROUND(E23*F23,2)</f>
        <v/>
      </c>
      <c r="H23" s="296">
        <f>G23/$G$30</f>
        <v/>
      </c>
      <c r="I23" s="219">
        <f>ROUND(F23*'Прил. 10'!$D$12,2)</f>
        <v/>
      </c>
      <c r="J23" s="219">
        <f>ROUND(I23*E23,2)</f>
        <v/>
      </c>
    </row>
    <row r="24" ht="14.25" customFormat="1" customHeight="1" s="312">
      <c r="A24" s="349" t="n"/>
      <c r="B24" s="349" t="n"/>
      <c r="C24" s="357" t="inlineStr">
        <is>
          <t>Итого основные машины и механизмы</t>
        </is>
      </c>
      <c r="D24" s="349" t="n"/>
      <c r="E24" s="221" t="n"/>
      <c r="F24" s="359" t="n"/>
      <c r="G24" s="219">
        <f>SUM(G20:G23)</f>
        <v/>
      </c>
      <c r="H24" s="360">
        <f>G24/G30</f>
        <v/>
      </c>
      <c r="I24" s="213" t="n"/>
      <c r="J24" s="219">
        <f>SUM(J20:J23)</f>
        <v/>
      </c>
    </row>
    <row r="25" hidden="1" outlineLevel="1" ht="25.5" customFormat="1" customHeight="1" s="312">
      <c r="A25" s="349" t="n">
        <v>7</v>
      </c>
      <c r="B25" s="223" t="inlineStr">
        <is>
          <t>91.14.02-001</t>
        </is>
      </c>
      <c r="C25" s="357" t="inlineStr">
        <is>
          <t>Автомобили бортовые, грузоподъемность до 5 т</t>
        </is>
      </c>
      <c r="D25" s="349" t="inlineStr">
        <is>
          <t>маш.-ч</t>
        </is>
      </c>
      <c r="E25" s="221" t="n">
        <v>19.24</v>
      </c>
      <c r="F25" s="359" t="n">
        <v>65.70999999999999</v>
      </c>
      <c r="G25" s="219">
        <f>ROUND(E25*F25,2)</f>
        <v/>
      </c>
      <c r="H25" s="296">
        <f>G25/$G$30</f>
        <v/>
      </c>
      <c r="I25" s="219">
        <f>ROUND(F25*'Прил. 10'!$D$12,2)</f>
        <v/>
      </c>
      <c r="J25" s="219">
        <f>ROUND(I25*E25,2)</f>
        <v/>
      </c>
    </row>
    <row r="26" hidden="1" outlineLevel="1" ht="38.25" customFormat="1" customHeight="1" s="312">
      <c r="A26" s="349" t="n">
        <v>8</v>
      </c>
      <c r="B26" s="223" t="inlineStr">
        <is>
          <t>91.17.04-036</t>
        </is>
      </c>
      <c r="C26" s="357" t="inlineStr">
        <is>
          <t>Агрегаты сварочные передвижные с дизельным двигателем, номинальный сварочный ток 250-400 А</t>
        </is>
      </c>
      <c r="D26" s="349" t="inlineStr">
        <is>
          <t>маш.-ч</t>
        </is>
      </c>
      <c r="E26" s="221" t="n">
        <v>14.7</v>
      </c>
      <c r="F26" s="359" t="n">
        <v>14</v>
      </c>
      <c r="G26" s="219">
        <f>ROUND(E26*F26,2)</f>
        <v/>
      </c>
      <c r="H26" s="296">
        <f>G26/$G$30</f>
        <v/>
      </c>
      <c r="I26" s="219">
        <f>ROUND(F26*'Прил. 10'!$D$12,2)</f>
        <v/>
      </c>
      <c r="J26" s="219">
        <f>ROUND(I26*E26,2)</f>
        <v/>
      </c>
    </row>
    <row r="27" hidden="1" outlineLevel="1" ht="14.25" customFormat="1" customHeight="1" s="312">
      <c r="A27" s="349" t="n">
        <v>9</v>
      </c>
      <c r="B27" s="223" t="inlineStr">
        <is>
          <t>91.15.01-001</t>
        </is>
      </c>
      <c r="C27" s="357" t="inlineStr">
        <is>
          <t>Прицепы тракторные 2 т</t>
        </is>
      </c>
      <c r="D27" s="349" t="inlineStr">
        <is>
          <t>маш.-ч</t>
        </is>
      </c>
      <c r="E27" s="221" t="n">
        <v>12.8</v>
      </c>
      <c r="F27" s="359" t="n">
        <v>4.01</v>
      </c>
      <c r="G27" s="219">
        <f>ROUND(E27*F27,2)</f>
        <v/>
      </c>
      <c r="H27" s="296">
        <f>G27/$G$30</f>
        <v/>
      </c>
      <c r="I27" s="219">
        <f>ROUND(F27*'Прил. 10'!$D$12,2)</f>
        <v/>
      </c>
      <c r="J27" s="219">
        <f>ROUND(I27*E27,2)</f>
        <v/>
      </c>
    </row>
    <row r="28" hidden="1" outlineLevel="1" ht="25.5" customFormat="1" customHeight="1" s="312">
      <c r="A28" s="349" t="n">
        <v>10</v>
      </c>
      <c r="B28" s="223" t="inlineStr">
        <is>
          <t>91.17.04-233</t>
        </is>
      </c>
      <c r="C28" s="357" t="inlineStr">
        <is>
          <t>Установки для сварки ручной дуговой (постоянного тока)</t>
        </is>
      </c>
      <c r="D28" s="349" t="inlineStr">
        <is>
          <t>маш.-ч</t>
        </is>
      </c>
      <c r="E28" s="221" t="n">
        <v>0.23</v>
      </c>
      <c r="F28" s="359" t="n">
        <v>8.1</v>
      </c>
      <c r="G28" s="219">
        <f>ROUND(E28*F28,2)</f>
        <v/>
      </c>
      <c r="H28" s="296">
        <f>G28/$G$30</f>
        <v/>
      </c>
      <c r="I28" s="219">
        <f>ROUND(F28*'Прил. 10'!$D$12,2)</f>
        <v/>
      </c>
      <c r="J28" s="219">
        <f>ROUND(I28*E28,2)</f>
        <v/>
      </c>
    </row>
    <row r="29" collapsed="1" ht="14.25" customFormat="1" customHeight="1" s="312">
      <c r="A29" s="349" t="n"/>
      <c r="B29" s="349" t="n"/>
      <c r="C29" s="357" t="inlineStr">
        <is>
          <t>Итого прочие машины и механизмы</t>
        </is>
      </c>
      <c r="D29" s="349" t="n"/>
      <c r="E29" s="358" t="n"/>
      <c r="F29" s="219" t="n"/>
      <c r="G29" s="213">
        <f>SUM(G25:G28)</f>
        <v/>
      </c>
      <c r="H29" s="296">
        <f>G29/G30</f>
        <v/>
      </c>
      <c r="I29" s="219" t="n"/>
      <c r="J29" s="213">
        <f>SUM(J25:J28)</f>
        <v/>
      </c>
    </row>
    <row r="30" ht="25.5" customFormat="1" customHeight="1" s="312">
      <c r="A30" s="349" t="n"/>
      <c r="B30" s="349" t="n"/>
      <c r="C30" s="339" t="inlineStr">
        <is>
          <t>Итого по разделу «Машины и механизмы»</t>
        </is>
      </c>
      <c r="D30" s="349" t="n"/>
      <c r="E30" s="358" t="n"/>
      <c r="F30" s="219" t="n"/>
      <c r="G30" s="219">
        <f>G29+G24</f>
        <v/>
      </c>
      <c r="H30" s="206" t="n">
        <v>1</v>
      </c>
      <c r="I30" s="207" t="n"/>
      <c r="J30" s="232">
        <f>J29+J24</f>
        <v/>
      </c>
    </row>
    <row r="31" ht="14.25" customFormat="1" customHeight="1" s="312">
      <c r="A31" s="349" t="n"/>
      <c r="B31" s="339" t="inlineStr">
        <is>
          <t>Оборудование</t>
        </is>
      </c>
      <c r="C31" s="423" t="n"/>
      <c r="D31" s="423" t="n"/>
      <c r="E31" s="423" t="n"/>
      <c r="F31" s="423" t="n"/>
      <c r="G31" s="423" t="n"/>
      <c r="H31" s="424" t="n"/>
      <c r="I31" s="212" t="n"/>
      <c r="J31" s="212" t="n"/>
    </row>
    <row r="32">
      <c r="A32" s="349" t="n"/>
      <c r="B32" s="353" t="inlineStr">
        <is>
          <t>Основное оборудование</t>
        </is>
      </c>
      <c r="C32" s="431" t="n"/>
      <c r="D32" s="431" t="n"/>
      <c r="E32" s="431" t="n"/>
      <c r="F32" s="431" t="n"/>
      <c r="G32" s="431" t="n"/>
      <c r="H32" s="432" t="n"/>
      <c r="I32" s="212" t="n"/>
      <c r="J32" s="212" t="n"/>
      <c r="K32" s="312" t="n"/>
      <c r="L32" s="312" t="n"/>
    </row>
    <row r="33">
      <c r="A33" s="349" t="n"/>
      <c r="B33" s="349" t="n"/>
      <c r="C33" s="357" t="inlineStr">
        <is>
          <t>Итого основное оборудование</t>
        </is>
      </c>
      <c r="D33" s="349" t="n"/>
      <c r="E33" s="221" t="n"/>
      <c r="F33" s="359" t="n"/>
      <c r="G33" s="219" t="n">
        <v>0</v>
      </c>
      <c r="H33" s="360" t="n">
        <v>0</v>
      </c>
      <c r="I33" s="213" t="n"/>
      <c r="J33" s="219" t="n">
        <v>0</v>
      </c>
      <c r="K33" s="312" t="n"/>
      <c r="L33" s="312" t="n"/>
    </row>
    <row r="34">
      <c r="A34" s="349" t="n"/>
      <c r="B34" s="349" t="n"/>
      <c r="C34" s="357" t="inlineStr">
        <is>
          <t>Итого прочее оборудование</t>
        </is>
      </c>
      <c r="D34" s="349" t="n"/>
      <c r="E34" s="221" t="n"/>
      <c r="F34" s="359" t="n"/>
      <c r="G34" s="219" t="n">
        <v>0</v>
      </c>
      <c r="H34" s="360" t="n">
        <v>0</v>
      </c>
      <c r="I34" s="213" t="n"/>
      <c r="J34" s="219" t="n">
        <v>0</v>
      </c>
      <c r="K34" s="312" t="n"/>
      <c r="L34" s="312" t="n"/>
    </row>
    <row r="35">
      <c r="A35" s="349" t="n"/>
      <c r="B35" s="349" t="n"/>
      <c r="C35" s="339" t="inlineStr">
        <is>
          <t>Итого по разделу «Оборудование»</t>
        </is>
      </c>
      <c r="D35" s="349" t="n"/>
      <c r="E35" s="358" t="n"/>
      <c r="F35" s="359" t="n"/>
      <c r="G35" s="219">
        <f>G34+G33</f>
        <v/>
      </c>
      <c r="H35" s="360">
        <f>H34+H33</f>
        <v/>
      </c>
      <c r="I35" s="213" t="n"/>
      <c r="J35" s="219">
        <f>J34+J33</f>
        <v/>
      </c>
      <c r="K35" s="312" t="n"/>
      <c r="L35" s="312" t="n"/>
    </row>
    <row r="36" ht="25.5" customHeight="1" s="304">
      <c r="A36" s="349" t="n"/>
      <c r="B36" s="349" t="n"/>
      <c r="C36" s="357" t="inlineStr">
        <is>
          <t>в том числе технологическое оборудование</t>
        </is>
      </c>
      <c r="D36" s="349" t="n"/>
      <c r="E36" s="297" t="n"/>
      <c r="F36" s="359" t="n"/>
      <c r="G36" s="219">
        <f>G35</f>
        <v/>
      </c>
      <c r="H36" s="360" t="n"/>
      <c r="I36" s="213" t="n"/>
      <c r="J36" s="219">
        <f>J35</f>
        <v/>
      </c>
      <c r="K36" s="312" t="n"/>
      <c r="L36" s="312" t="n"/>
    </row>
    <row r="37" ht="14.25" customFormat="1" customHeight="1" s="312">
      <c r="A37" s="349" t="n"/>
      <c r="B37" s="339" t="inlineStr">
        <is>
          <t>Материалы</t>
        </is>
      </c>
      <c r="C37" s="423" t="n"/>
      <c r="D37" s="423" t="n"/>
      <c r="E37" s="423" t="n"/>
      <c r="F37" s="423" t="n"/>
      <c r="G37" s="423" t="n"/>
      <c r="H37" s="424" t="n"/>
      <c r="I37" s="212" t="n"/>
      <c r="J37" s="212" t="n"/>
    </row>
    <row r="38" ht="14.25" customFormat="1" customHeight="1" s="312">
      <c r="A38" s="350" t="n"/>
      <c r="B38" s="353" t="inlineStr">
        <is>
          <t>Основные материалы</t>
        </is>
      </c>
      <c r="C38" s="431" t="n"/>
      <c r="D38" s="431" t="n"/>
      <c r="E38" s="431" t="n"/>
      <c r="F38" s="431" t="n"/>
      <c r="G38" s="431" t="n"/>
      <c r="H38" s="432" t="n"/>
      <c r="I38" s="227" t="n"/>
      <c r="J38" s="227" t="n"/>
    </row>
    <row r="39" ht="51" customFormat="1" customHeight="1" s="312">
      <c r="A39" s="349" t="n">
        <v>11</v>
      </c>
      <c r="B39" s="349" t="inlineStr">
        <is>
          <t>62.1.03.01-1070</t>
        </is>
      </c>
      <c r="C39" s="357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D39" s="349" t="inlineStr">
        <is>
          <t>шт</t>
        </is>
      </c>
      <c r="E39" s="221" t="n">
        <v>23</v>
      </c>
      <c r="F39" s="359" t="n">
        <v>1485.93</v>
      </c>
      <c r="G39" s="219">
        <f>ROUND(E39*F39,2)</f>
        <v/>
      </c>
      <c r="H39" s="296">
        <f>G39/$G$81</f>
        <v/>
      </c>
      <c r="I39" s="219">
        <f>ROUND(F39*'Прил. 10'!$D$13,2)</f>
        <v/>
      </c>
      <c r="J39" s="219">
        <f>ROUND(I39*E39,2)</f>
        <v/>
      </c>
    </row>
    <row r="40" ht="14.25" customFormat="1" customHeight="1" s="312">
      <c r="A40" s="349" t="n">
        <v>12</v>
      </c>
      <c r="B40" s="349" t="inlineStr">
        <is>
          <t>22.2.01.03-0003</t>
        </is>
      </c>
      <c r="C40" s="357" t="inlineStr">
        <is>
          <t>Изолятор подвесной стеклянный ПСД-70Е</t>
        </is>
      </c>
      <c r="D40" s="349" t="inlineStr">
        <is>
          <t>шт</t>
        </is>
      </c>
      <c r="E40" s="221" t="n">
        <v>126</v>
      </c>
      <c r="F40" s="359" t="n">
        <v>169.25</v>
      </c>
      <c r="G40" s="219">
        <f>ROUND(E40*F40,2)</f>
        <v/>
      </c>
      <c r="H40" s="296">
        <f>G40/$G$81</f>
        <v/>
      </c>
      <c r="I40" s="219">
        <f>ROUND(F40*'Прил. 10'!$D$13,2)</f>
        <v/>
      </c>
      <c r="J40" s="219">
        <f>ROUND(I40*E40,2)</f>
        <v/>
      </c>
    </row>
    <row r="41" ht="25.5" customFormat="1" customHeight="1" s="312">
      <c r="A41" s="349" t="n">
        <v>13</v>
      </c>
      <c r="B41" s="349" t="inlineStr">
        <is>
          <t>20.1.01.08-0001</t>
        </is>
      </c>
      <c r="C41" s="357" t="inlineStr">
        <is>
          <t>Зажим оперативный ответвительный марки SL 30</t>
        </is>
      </c>
      <c r="D41" s="349" t="inlineStr">
        <is>
          <t>100 шт</t>
        </is>
      </c>
      <c r="E41" s="221" t="n">
        <v>0.3</v>
      </c>
      <c r="F41" s="359" t="n">
        <v>53793</v>
      </c>
      <c r="G41" s="219">
        <f>ROUND(E41*F41,2)</f>
        <v/>
      </c>
      <c r="H41" s="296">
        <f>G41/$G$81</f>
        <v/>
      </c>
      <c r="I41" s="219">
        <f>ROUND(F41*'Прил. 10'!$D$13,2)</f>
        <v/>
      </c>
      <c r="J41" s="219">
        <f>ROUND(I41*E41,2)</f>
        <v/>
      </c>
    </row>
    <row r="42" ht="14.25" customFormat="1" customHeight="1" s="312">
      <c r="A42" s="349" t="n">
        <v>14</v>
      </c>
      <c r="B42" s="349" t="inlineStr">
        <is>
          <t>07.2.02.05-0021</t>
        </is>
      </c>
      <c r="C42" s="357" t="inlineStr">
        <is>
          <t>Траверсы стальные</t>
        </is>
      </c>
      <c r="D42" s="349" t="inlineStr">
        <is>
          <t>т</t>
        </is>
      </c>
      <c r="E42" s="221" t="n">
        <v>0.6619</v>
      </c>
      <c r="F42" s="359" t="n">
        <v>10832.93</v>
      </c>
      <c r="G42" s="219">
        <f>ROUND(E42*F42,2)</f>
        <v/>
      </c>
      <c r="H42" s="296">
        <f>G42/$G$81</f>
        <v/>
      </c>
      <c r="I42" s="219">
        <f>ROUND(F42*'Прил. 10'!$D$13,2)</f>
        <v/>
      </c>
      <c r="J42" s="219">
        <f>ROUND(I42*E42,2)</f>
        <v/>
      </c>
    </row>
    <row r="43" ht="14.25" customFormat="1" customHeight="1" s="312">
      <c r="A43" s="349" t="n">
        <v>15</v>
      </c>
      <c r="B43" s="349" t="inlineStr">
        <is>
          <t>20.5.04.04-0001</t>
        </is>
      </c>
      <c r="C43" s="357" t="inlineStr">
        <is>
          <t>Зажим натяжной болтовый НБ-2-6</t>
        </is>
      </c>
      <c r="D43" s="349" t="inlineStr">
        <is>
          <t>шт</t>
        </is>
      </c>
      <c r="E43" s="221" t="n">
        <v>63</v>
      </c>
      <c r="F43" s="359" t="n">
        <v>89.44</v>
      </c>
      <c r="G43" s="219">
        <f>ROUND(E43*F43,2)</f>
        <v/>
      </c>
      <c r="H43" s="296">
        <f>G43/$G$81</f>
        <v/>
      </c>
      <c r="I43" s="219">
        <f>ROUND(F43*'Прил. 10'!$D$13,2)</f>
        <v/>
      </c>
      <c r="J43" s="219">
        <f>ROUND(I43*E43,2)</f>
        <v/>
      </c>
    </row>
    <row r="44" ht="38.25" customFormat="1" customHeight="1" s="312">
      <c r="A44" s="349" t="n">
        <v>16</v>
      </c>
      <c r="B44" s="349" t="inlineStr">
        <is>
          <t>20.2.08.07-0031</t>
        </is>
      </c>
      <c r="C44" s="357" t="inlineStr">
        <is>
          <t>Скоба П-образная для оперативных ответвительных зажимов SL 30, SL 36, марки PSS 924 (ENSTO)</t>
        </is>
      </c>
      <c r="D44" s="349" t="inlineStr">
        <is>
          <t>100 шт</t>
        </is>
      </c>
      <c r="E44" s="221" t="n">
        <v>0.15</v>
      </c>
      <c r="F44" s="359" t="n">
        <v>25876</v>
      </c>
      <c r="G44" s="219">
        <f>ROUND(E44*F44,2)</f>
        <v/>
      </c>
      <c r="H44" s="296">
        <f>G44/$G$81</f>
        <v/>
      </c>
      <c r="I44" s="219">
        <f>ROUND(F44*'Прил. 10'!$D$13,2)</f>
        <v/>
      </c>
      <c r="J44" s="219">
        <f>ROUND(I44*E44,2)</f>
        <v/>
      </c>
    </row>
    <row r="45" ht="38.25" customFormat="1" customHeight="1" s="312">
      <c r="A45" s="349" t="n">
        <v>17</v>
      </c>
      <c r="B45" s="349" t="inlineStr">
        <is>
          <t>20.1.02.15-0011</t>
        </is>
      </c>
      <c r="C45" s="357" t="inlineStr">
        <is>
          <t>Соединитель алюминиевых и сталеалюминиевых проводов (СОАС) 062-3</t>
        </is>
      </c>
      <c r="D45" s="349" t="inlineStr">
        <is>
          <t>шт</t>
        </is>
      </c>
      <c r="E45" s="221" t="n">
        <v>43.697</v>
      </c>
      <c r="F45" s="359" t="n">
        <v>88.14</v>
      </c>
      <c r="G45" s="219">
        <f>ROUND(E45*F45,2)</f>
        <v/>
      </c>
      <c r="H45" s="296">
        <f>G45/$G$81</f>
        <v/>
      </c>
      <c r="I45" s="219">
        <f>ROUND(F45*'Прил. 10'!$D$13,2)</f>
        <v/>
      </c>
      <c r="J45" s="219">
        <f>ROUND(I45*E45,2)</f>
        <v/>
      </c>
    </row>
    <row r="46" ht="14.25" customFormat="1" customHeight="1" s="312">
      <c r="A46" s="349" t="n"/>
      <c r="B46" s="228" t="n"/>
      <c r="C46" s="229" t="inlineStr">
        <is>
          <t>Итого основные материалы</t>
        </is>
      </c>
      <c r="D46" s="351" t="n"/>
      <c r="E46" s="221" t="n"/>
      <c r="F46" s="232" t="n"/>
      <c r="G46" s="232">
        <f>SUM(G39:G45)</f>
        <v/>
      </c>
      <c r="H46" s="296">
        <f>G46/$G$81</f>
        <v/>
      </c>
      <c r="I46" s="219" t="n"/>
      <c r="J46" s="232">
        <f>SUM(J39:J45)</f>
        <v/>
      </c>
    </row>
    <row r="47" hidden="1" outlineLevel="1" ht="25.5" customFormat="1" customHeight="1" s="312">
      <c r="A47" s="349" t="n">
        <v>18</v>
      </c>
      <c r="B47" s="349" t="inlineStr">
        <is>
          <t>22.2.01.04-0002</t>
        </is>
      </c>
      <c r="C47" s="357" t="inlineStr">
        <is>
          <t>Изолятор линейный штыревой фарфоровый ШФ 20-Г</t>
        </is>
      </c>
      <c r="D47" s="349" t="inlineStr">
        <is>
          <t>шт</t>
        </is>
      </c>
      <c r="E47" s="221" t="n">
        <v>61</v>
      </c>
      <c r="F47" s="359" t="n">
        <v>46.72</v>
      </c>
      <c r="G47" s="219">
        <f>ROUND(E47*F47,2)</f>
        <v/>
      </c>
      <c r="H47" s="296">
        <f>G47/$G$81</f>
        <v/>
      </c>
      <c r="I47" s="219">
        <f>ROUND(F47*'Прил. 10'!$D$13,2)</f>
        <v/>
      </c>
      <c r="J47" s="219">
        <f>ROUND(I47*E47,2)</f>
        <v/>
      </c>
    </row>
    <row r="48" hidden="1" outlineLevel="1" ht="25.5" customFormat="1" customHeight="1" s="312">
      <c r="A48" s="349" t="n">
        <v>19</v>
      </c>
      <c r="B48" s="349" t="inlineStr">
        <is>
          <t>22.2.02.04-0041</t>
        </is>
      </c>
      <c r="C48" s="357" t="inlineStr">
        <is>
          <t>Звено промежуточное трехлапчатое ПРТ-7-1</t>
        </is>
      </c>
      <c r="D48" s="349" t="inlineStr">
        <is>
          <t>шт</t>
        </is>
      </c>
      <c r="E48" s="221" t="n">
        <v>75</v>
      </c>
      <c r="F48" s="359" t="n">
        <v>36.42</v>
      </c>
      <c r="G48" s="219">
        <f>ROUND(E48*F48,2)</f>
        <v/>
      </c>
      <c r="H48" s="296">
        <f>G48/$G$81</f>
        <v/>
      </c>
      <c r="I48" s="219">
        <f>ROUND(F48*'Прил. 10'!$D$13,2)</f>
        <v/>
      </c>
      <c r="J48" s="219">
        <f>ROUND(I48*E48,2)</f>
        <v/>
      </c>
    </row>
    <row r="49" hidden="1" outlineLevel="1" ht="14.25" customFormat="1" customHeight="1" s="312">
      <c r="A49" s="349" t="n">
        <v>20</v>
      </c>
      <c r="B49" s="349" t="inlineStr">
        <is>
          <t>20.1.02.22-0005</t>
        </is>
      </c>
      <c r="C49" s="357" t="inlineStr">
        <is>
          <t>Ушко: однолапчатое У1-7-16</t>
        </is>
      </c>
      <c r="D49" s="349" t="inlineStr">
        <is>
          <t>шт</t>
        </is>
      </c>
      <c r="E49" s="221" t="n">
        <v>63</v>
      </c>
      <c r="F49" s="359" t="n">
        <v>39.32</v>
      </c>
      <c r="G49" s="219">
        <f>ROUND(E49*F49,2)</f>
        <v/>
      </c>
      <c r="H49" s="296">
        <f>G49/$G$81</f>
        <v/>
      </c>
      <c r="I49" s="219">
        <f>ROUND(F49*'Прил. 10'!$D$13,2)</f>
        <v/>
      </c>
      <c r="J49" s="219">
        <f>ROUND(I49*E49,2)</f>
        <v/>
      </c>
    </row>
    <row r="50" hidden="1" outlineLevel="1" ht="25.5" customFormat="1" customHeight="1" s="312">
      <c r="A50" s="349" t="n">
        <v>21</v>
      </c>
      <c r="B50" s="349" t="inlineStr">
        <is>
          <t>20.1.01.11-0022</t>
        </is>
      </c>
      <c r="C50" s="357" t="inlineStr">
        <is>
          <t>Зажим соединительный: плашечный ПС-2-1</t>
        </is>
      </c>
      <c r="D50" s="349" t="inlineStr">
        <is>
          <t>шт</t>
        </is>
      </c>
      <c r="E50" s="221" t="n">
        <v>150</v>
      </c>
      <c r="F50" s="359" t="n">
        <v>12.53</v>
      </c>
      <c r="G50" s="219">
        <f>ROUND(E50*F50,2)</f>
        <v/>
      </c>
      <c r="H50" s="296">
        <f>G50/$G$81</f>
        <v/>
      </c>
      <c r="I50" s="219">
        <f>ROUND(F50*'Прил. 10'!$D$13,2)</f>
        <v/>
      </c>
      <c r="J50" s="219">
        <f>ROUND(I50*E50,2)</f>
        <v/>
      </c>
    </row>
    <row r="51" hidden="1" outlineLevel="1" ht="14.25" customFormat="1" customHeight="1" s="312">
      <c r="A51" s="349" t="n">
        <v>22</v>
      </c>
      <c r="B51" s="349" t="inlineStr">
        <is>
          <t>07.2.07.13-0221</t>
        </is>
      </c>
      <c r="C51" s="357" t="inlineStr">
        <is>
          <t>Хомуты стальные</t>
        </is>
      </c>
      <c r="D51" s="349" t="inlineStr">
        <is>
          <t>кг</t>
        </is>
      </c>
      <c r="E51" s="221" t="n">
        <v>182.6</v>
      </c>
      <c r="F51" s="359" t="n">
        <v>9.6</v>
      </c>
      <c r="G51" s="219">
        <f>ROUND(E51*F51,2)</f>
        <v/>
      </c>
      <c r="H51" s="296">
        <f>G51/$G$81</f>
        <v/>
      </c>
      <c r="I51" s="219">
        <f>ROUND(F51*'Прил. 10'!$D$13,2)</f>
        <v/>
      </c>
      <c r="J51" s="219">
        <f>ROUND(I51*E51,2)</f>
        <v/>
      </c>
    </row>
    <row r="52" hidden="1" outlineLevel="1" ht="25.5" customFormat="1" customHeight="1" s="312">
      <c r="A52" s="349" t="n">
        <v>23</v>
      </c>
      <c r="B52" s="349" t="inlineStr">
        <is>
          <t>08.3.04.02-0095</t>
        </is>
      </c>
      <c r="C52" s="357" t="inlineStr">
        <is>
          <t>Круг стальной горячекатаный, марка стали ВСт3пс5-1, диаметр 16 мм</t>
        </is>
      </c>
      <c r="D52" s="349" t="inlineStr">
        <is>
          <t>т</t>
        </is>
      </c>
      <c r="E52" s="221" t="n">
        <v>0.3318</v>
      </c>
      <c r="F52" s="359" t="n">
        <v>5230.01</v>
      </c>
      <c r="G52" s="219">
        <f>ROUND(E52*F52,2)</f>
        <v/>
      </c>
      <c r="H52" s="296">
        <f>G52/$G$81</f>
        <v/>
      </c>
      <c r="I52" s="219">
        <f>ROUND(F52*'Прил. 10'!$D$13,2)</f>
        <v/>
      </c>
      <c r="J52" s="219">
        <f>ROUND(I52*E52,2)</f>
        <v/>
      </c>
    </row>
    <row r="53" hidden="1" outlineLevel="1" ht="14.25" customFormat="1" customHeight="1" s="312">
      <c r="A53" s="349" t="n">
        <v>24</v>
      </c>
      <c r="B53" s="349" t="inlineStr">
        <is>
          <t>22.2.02.14-0022</t>
        </is>
      </c>
      <c r="C53" s="357" t="inlineStr">
        <is>
          <t>Проволока стальная оцинкованная</t>
        </is>
      </c>
      <c r="D53" s="349" t="inlineStr">
        <is>
          <t>т</t>
        </is>
      </c>
      <c r="E53" s="221" t="n">
        <v>0.1</v>
      </c>
      <c r="F53" s="359" t="n">
        <v>10270</v>
      </c>
      <c r="G53" s="219">
        <f>ROUND(E53*F53,2)</f>
        <v/>
      </c>
      <c r="H53" s="296">
        <f>G53/$G$81</f>
        <v/>
      </c>
      <c r="I53" s="219">
        <f>ROUND(F53*'Прил. 10'!$D$13,2)</f>
        <v/>
      </c>
      <c r="J53" s="219">
        <f>ROUND(I53*E53,2)</f>
        <v/>
      </c>
    </row>
    <row r="54" hidden="1" outlineLevel="1" ht="14.25" customFormat="1" customHeight="1" s="312">
      <c r="A54" s="349" t="n">
        <v>25</v>
      </c>
      <c r="B54" s="349" t="inlineStr">
        <is>
          <t>20.2.02.04-0006</t>
        </is>
      </c>
      <c r="C54" s="357" t="inlineStr">
        <is>
          <t>Колпачки полиэтиленовые</t>
        </is>
      </c>
      <c r="D54" s="349" t="inlineStr">
        <is>
          <t>100 шт</t>
        </is>
      </c>
      <c r="E54" s="221" t="n">
        <v>1.26</v>
      </c>
      <c r="F54" s="359" t="n">
        <v>610</v>
      </c>
      <c r="G54" s="219">
        <f>ROUND(E54*F54,2)</f>
        <v/>
      </c>
      <c r="H54" s="296">
        <f>G54/$G$81</f>
        <v/>
      </c>
      <c r="I54" s="219">
        <f>ROUND(F54*'Прил. 10'!$D$13,2)</f>
        <v/>
      </c>
      <c r="J54" s="219">
        <f>ROUND(I54*E54,2)</f>
        <v/>
      </c>
    </row>
    <row r="55" hidden="1" outlineLevel="1" ht="25.5" customFormat="1" customHeight="1" s="312">
      <c r="A55" s="349" t="n">
        <v>26</v>
      </c>
      <c r="B55" s="349" t="inlineStr">
        <is>
          <t>20.1.01.11-0004</t>
        </is>
      </c>
      <c r="C55" s="357" t="inlineStr">
        <is>
          <t>Зажим: плашечный соединительный ПА 2-2</t>
        </is>
      </c>
      <c r="D55" s="349" t="inlineStr">
        <is>
          <t>шт</t>
        </is>
      </c>
      <c r="E55" s="221" t="n">
        <v>59</v>
      </c>
      <c r="F55" s="359" t="n">
        <v>6.78</v>
      </c>
      <c r="G55" s="219">
        <f>ROUND(E55*F55,2)</f>
        <v/>
      </c>
      <c r="H55" s="296">
        <f>G55/$G$81</f>
        <v/>
      </c>
      <c r="I55" s="219">
        <f>ROUND(F55*'Прил. 10'!$D$13,2)</f>
        <v/>
      </c>
      <c r="J55" s="219">
        <f>ROUND(I55*E55,2)</f>
        <v/>
      </c>
    </row>
    <row r="56" hidden="1" outlineLevel="1" ht="14.25" customFormat="1" customHeight="1" s="312">
      <c r="A56" s="349" t="n">
        <v>27</v>
      </c>
      <c r="B56" s="349" t="inlineStr">
        <is>
          <t>20.1.01.02-0047</t>
        </is>
      </c>
      <c r="C56" s="357" t="inlineStr">
        <is>
          <t>Зажим аппаратный прессуемый: А2А-70-2</t>
        </is>
      </c>
      <c r="D56" s="349" t="inlineStr">
        <is>
          <t>100 шт</t>
        </is>
      </c>
      <c r="E56" s="221" t="n">
        <v>0.18</v>
      </c>
      <c r="F56" s="359" t="n">
        <v>2089</v>
      </c>
      <c r="G56" s="219">
        <f>ROUND(E56*F56,2)</f>
        <v/>
      </c>
      <c r="H56" s="296">
        <f>G56/$G$81</f>
        <v/>
      </c>
      <c r="I56" s="219">
        <f>ROUND(F56*'Прил. 10'!$D$13,2)</f>
        <v/>
      </c>
      <c r="J56" s="219">
        <f>ROUND(I56*E56,2)</f>
        <v/>
      </c>
    </row>
    <row r="57" hidden="1" outlineLevel="1" ht="14.25" customFormat="1" customHeight="1" s="312">
      <c r="A57" s="349" t="n">
        <v>28</v>
      </c>
      <c r="B57" s="349" t="inlineStr">
        <is>
          <t>20.2.06.05-0001</t>
        </is>
      </c>
      <c r="C57" s="357" t="inlineStr">
        <is>
          <t>Кронштейны</t>
        </is>
      </c>
      <c r="D57" s="349" t="inlineStr">
        <is>
          <t>кг</t>
        </is>
      </c>
      <c r="E57" s="221" t="n">
        <v>30</v>
      </c>
      <c r="F57" s="359" t="n">
        <v>9.119999999999999</v>
      </c>
      <c r="G57" s="219">
        <f>ROUND(E57*F57,2)</f>
        <v/>
      </c>
      <c r="H57" s="296">
        <f>G57/$G$81</f>
        <v/>
      </c>
      <c r="I57" s="219">
        <f>ROUND(F57*'Прил. 10'!$D$13,2)</f>
        <v/>
      </c>
      <c r="J57" s="219">
        <f>ROUND(I57*E57,2)</f>
        <v/>
      </c>
    </row>
    <row r="58" hidden="1" outlineLevel="1" ht="25.5" customFormat="1" customHeight="1" s="312">
      <c r="A58" s="349" t="n">
        <v>29</v>
      </c>
      <c r="B58" s="349" t="inlineStr">
        <is>
          <t>08.3.04.02-0092</t>
        </is>
      </c>
      <c r="C58" s="357" t="inlineStr">
        <is>
          <t>Круг стальной горячекатаный, марка стали ВСт3пс5-1, диаметр 10 мм</t>
        </is>
      </c>
      <c r="D58" s="349" t="inlineStr">
        <is>
          <t>т</t>
        </is>
      </c>
      <c r="E58" s="221" t="n">
        <v>0.0517</v>
      </c>
      <c r="F58" s="359" t="n">
        <v>5230.01</v>
      </c>
      <c r="G58" s="219">
        <f>ROUND(E58*F58,2)</f>
        <v/>
      </c>
      <c r="H58" s="296">
        <f>G58/$G$81</f>
        <v/>
      </c>
      <c r="I58" s="219">
        <f>ROUND(F58*'Прил. 10'!$D$13,2)</f>
        <v/>
      </c>
      <c r="J58" s="219">
        <f>ROUND(I58*E58,2)</f>
        <v/>
      </c>
    </row>
    <row r="59" hidden="1" outlineLevel="1" ht="14.25" customFormat="1" customHeight="1" s="312">
      <c r="A59" s="349" t="n">
        <v>30</v>
      </c>
      <c r="B59" s="349" t="inlineStr">
        <is>
          <t>08.3.07.01-0035</t>
        </is>
      </c>
      <c r="C59" s="357" t="inlineStr">
        <is>
          <t>Сталь полосовая: 25х4 мм, марка Ст3сп</t>
        </is>
      </c>
      <c r="D59" s="349" t="inlineStr">
        <is>
          <t>т</t>
        </is>
      </c>
      <c r="E59" s="221" t="n">
        <v>0.0427</v>
      </c>
      <c r="F59" s="359" t="n">
        <v>6159.22</v>
      </c>
      <c r="G59" s="219">
        <f>ROUND(E59*F59,2)</f>
        <v/>
      </c>
      <c r="H59" s="296">
        <f>G59/$G$81</f>
        <v/>
      </c>
      <c r="I59" s="219">
        <f>ROUND(F59*'Прил. 10'!$D$13,2)</f>
        <v/>
      </c>
      <c r="J59" s="219">
        <f>ROUND(I59*E59,2)</f>
        <v/>
      </c>
    </row>
    <row r="60" hidden="1" outlineLevel="1" ht="14.25" customFormat="1" customHeight="1" s="312">
      <c r="A60" s="349" t="n">
        <v>31</v>
      </c>
      <c r="B60" s="349" t="inlineStr">
        <is>
          <t>10.1.02.03-0002</t>
        </is>
      </c>
      <c r="C60" s="357" t="inlineStr">
        <is>
          <t>Проволока алюминиевая, диаметр 3 мм</t>
        </is>
      </c>
      <c r="D60" s="349" t="inlineStr">
        <is>
          <t>т</t>
        </is>
      </c>
      <c r="E60" s="221" t="n">
        <v>0.0078</v>
      </c>
      <c r="F60" s="359" t="n">
        <v>29010.49</v>
      </c>
      <c r="G60" s="219">
        <f>ROUND(E60*F60,2)</f>
        <v/>
      </c>
      <c r="H60" s="296">
        <f>G60/$G$81</f>
        <v/>
      </c>
      <c r="I60" s="219">
        <f>ROUND(F60*'Прил. 10'!$D$13,2)</f>
        <v/>
      </c>
      <c r="J60" s="219">
        <f>ROUND(I60*E60,2)</f>
        <v/>
      </c>
    </row>
    <row r="61" hidden="1" outlineLevel="1" ht="51" customFormat="1" customHeight="1" s="312">
      <c r="A61" s="349" t="n">
        <v>32</v>
      </c>
      <c r="B61" s="349" t="inlineStr">
        <is>
          <t>25.2.02.11-0021</t>
        </is>
      </c>
      <c r="C61" s="357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61" s="349" t="inlineStr">
        <is>
          <t>шт</t>
        </is>
      </c>
      <c r="E61" s="221" t="n">
        <v>0.2</v>
      </c>
      <c r="F61" s="359" t="n">
        <v>943.0599999999999</v>
      </c>
      <c r="G61" s="219">
        <f>ROUND(E61*F61,2)</f>
        <v/>
      </c>
      <c r="H61" s="296">
        <f>G61/$G$81</f>
        <v/>
      </c>
      <c r="I61" s="219">
        <f>ROUND(F61*'Прил. 10'!$D$13,2)</f>
        <v/>
      </c>
      <c r="J61" s="219">
        <f>ROUND(I61*E61,2)</f>
        <v/>
      </c>
    </row>
    <row r="62" hidden="1" outlineLevel="1" ht="25.5" customFormat="1" customHeight="1" s="312">
      <c r="A62" s="349" t="n">
        <v>33</v>
      </c>
      <c r="B62" s="349" t="inlineStr">
        <is>
          <t>20.2.02.03-0011</t>
        </is>
      </c>
      <c r="C62" s="357" t="inlineStr">
        <is>
          <t>Кожух защитный для соединений проводов</t>
        </is>
      </c>
      <c r="D62" s="349" t="inlineStr">
        <is>
          <t>шт</t>
        </is>
      </c>
      <c r="E62" s="221" t="n">
        <v>1</v>
      </c>
      <c r="F62" s="359" t="n">
        <v>161.1</v>
      </c>
      <c r="G62" s="219">
        <f>ROUND(E62*F62,2)</f>
        <v/>
      </c>
      <c r="H62" s="296">
        <f>G62/$G$81</f>
        <v/>
      </c>
      <c r="I62" s="219">
        <f>ROUND(F62*'Прил. 10'!$D$13,2)</f>
        <v/>
      </c>
      <c r="J62" s="219">
        <f>ROUND(I62*E62,2)</f>
        <v/>
      </c>
    </row>
    <row r="63" hidden="1" outlineLevel="1" ht="25.5" customFormat="1" customHeight="1" s="312">
      <c r="A63" s="349" t="n">
        <v>34</v>
      </c>
      <c r="B63" s="349" t="inlineStr">
        <is>
          <t>14.4.02.04-0015</t>
        </is>
      </c>
      <c r="C63" s="357" t="inlineStr">
        <is>
          <t>Краска масляная для внутренних работ МА-015, черная густотертая</t>
        </is>
      </c>
      <c r="D63" s="349" t="inlineStr">
        <is>
          <t>т</t>
        </is>
      </c>
      <c r="E63" s="221" t="n">
        <v>0.008399999999999999</v>
      </c>
      <c r="F63" s="359" t="n">
        <v>15707</v>
      </c>
      <c r="G63" s="219">
        <f>ROUND(E63*F63,2)</f>
        <v/>
      </c>
      <c r="H63" s="296">
        <f>G63/$G$81</f>
        <v/>
      </c>
      <c r="I63" s="219">
        <f>ROUND(F63*'Прил. 10'!$D$13,2)</f>
        <v/>
      </c>
      <c r="J63" s="219">
        <f>ROUND(I63*E63,2)</f>
        <v/>
      </c>
    </row>
    <row r="64" hidden="1" outlineLevel="1" ht="14.25" customFormat="1" customHeight="1" s="312">
      <c r="A64" s="349" t="n">
        <v>35</v>
      </c>
      <c r="B64" s="349" t="inlineStr">
        <is>
          <t>20.1.02.23-0082</t>
        </is>
      </c>
      <c r="C64" s="357" t="inlineStr">
        <is>
          <t>Перемычки гибкие, тип ПГС-50</t>
        </is>
      </c>
      <c r="D64" s="349" t="inlineStr">
        <is>
          <t>10 шт</t>
        </is>
      </c>
      <c r="E64" s="221" t="n">
        <v>2.323</v>
      </c>
      <c r="F64" s="359" t="n">
        <v>39</v>
      </c>
      <c r="G64" s="219">
        <f>ROUND(E64*F64,2)</f>
        <v/>
      </c>
      <c r="H64" s="296">
        <f>G64/$G$81</f>
        <v/>
      </c>
      <c r="I64" s="219">
        <f>ROUND(F64*'Прил. 10'!$D$13,2)</f>
        <v/>
      </c>
      <c r="J64" s="219">
        <f>ROUND(I64*E64,2)</f>
        <v/>
      </c>
    </row>
    <row r="65" hidden="1" outlineLevel="1" ht="14.25" customFormat="1" customHeight="1" s="312">
      <c r="A65" s="349" t="n">
        <v>36</v>
      </c>
      <c r="B65" s="349" t="inlineStr">
        <is>
          <t>20.1.02.23-0121</t>
        </is>
      </c>
      <c r="C65" s="357" t="inlineStr">
        <is>
          <t>Проводник заземляющий П-750</t>
        </is>
      </c>
      <c r="D65" s="349" t="inlineStr">
        <is>
          <t>шт</t>
        </is>
      </c>
      <c r="E65" s="221" t="n">
        <v>6</v>
      </c>
      <c r="F65" s="359" t="n">
        <v>13.55</v>
      </c>
      <c r="G65" s="219">
        <f>ROUND(E65*F65,2)</f>
        <v/>
      </c>
      <c r="H65" s="296">
        <f>G65/$G$81</f>
        <v/>
      </c>
      <c r="I65" s="219">
        <f>ROUND(F65*'Прил. 10'!$D$13,2)</f>
        <v/>
      </c>
      <c r="J65" s="219">
        <f>ROUND(I65*E65,2)</f>
        <v/>
      </c>
    </row>
    <row r="66" hidden="1" outlineLevel="1" ht="14.25" customFormat="1" customHeight="1" s="312">
      <c r="A66" s="349" t="n">
        <v>37</v>
      </c>
      <c r="B66" s="349" t="inlineStr">
        <is>
          <t>01.3.01.06-0038</t>
        </is>
      </c>
      <c r="C66" s="357" t="inlineStr">
        <is>
          <t>Смазка защитная электросетевая</t>
        </is>
      </c>
      <c r="D66" s="349" t="inlineStr">
        <is>
          <t>кг</t>
        </is>
      </c>
      <c r="E66" s="221" t="n">
        <v>4.3452</v>
      </c>
      <c r="F66" s="359" t="n">
        <v>14.4</v>
      </c>
      <c r="G66" s="219">
        <f>ROUND(E66*F66,2)</f>
        <v/>
      </c>
      <c r="H66" s="296">
        <f>G66/$G$81</f>
        <v/>
      </c>
      <c r="I66" s="219">
        <f>ROUND(F66*'Прил. 10'!$D$13,2)</f>
        <v/>
      </c>
      <c r="J66" s="219">
        <f>ROUND(I66*E66,2)</f>
        <v/>
      </c>
    </row>
    <row r="67" hidden="1" outlineLevel="1" ht="14.25" customFormat="1" customHeight="1" s="312">
      <c r="A67" s="349" t="n">
        <v>38</v>
      </c>
      <c r="B67" s="349" t="inlineStr">
        <is>
          <t>01.7.11.07-0032</t>
        </is>
      </c>
      <c r="C67" s="357" t="inlineStr">
        <is>
          <t>Электроды сварочные Э42, диаметр 4 мм</t>
        </is>
      </c>
      <c r="D67" s="349" t="inlineStr">
        <is>
          <t>т</t>
        </is>
      </c>
      <c r="E67" s="221" t="n">
        <v>0.0035</v>
      </c>
      <c r="F67" s="359" t="n">
        <v>10315.01</v>
      </c>
      <c r="G67" s="219">
        <f>ROUND(E67*F67,2)</f>
        <v/>
      </c>
      <c r="H67" s="296">
        <f>G67/$G$81</f>
        <v/>
      </c>
      <c r="I67" s="219">
        <f>ROUND(F67*'Прил. 10'!$D$13,2)</f>
        <v/>
      </c>
      <c r="J67" s="219">
        <f>ROUND(I67*E67,2)</f>
        <v/>
      </c>
    </row>
    <row r="68" hidden="1" outlineLevel="1" ht="25.5" customFormat="1" customHeight="1" s="312">
      <c r="A68" s="349" t="n">
        <v>39</v>
      </c>
      <c r="B68" s="349" t="inlineStr">
        <is>
          <t>25.2.02.11-0051</t>
        </is>
      </c>
      <c r="C68" s="357" t="inlineStr">
        <is>
          <t>Скрепа для фиксации на промежуточных опорах, размер 20 мм</t>
        </is>
      </c>
      <c r="D68" s="349" t="inlineStr">
        <is>
          <t>100 шт</t>
        </is>
      </c>
      <c r="E68" s="221" t="n">
        <v>0.06</v>
      </c>
      <c r="F68" s="359" t="n">
        <v>582</v>
      </c>
      <c r="G68" s="219">
        <f>ROUND(E68*F68,2)</f>
        <v/>
      </c>
      <c r="H68" s="296">
        <f>G68/$G$81</f>
        <v/>
      </c>
      <c r="I68" s="219">
        <f>ROUND(F68*'Прил. 10'!$D$13,2)</f>
        <v/>
      </c>
      <c r="J68" s="219">
        <f>ROUND(I68*E68,2)</f>
        <v/>
      </c>
    </row>
    <row r="69" hidden="1" outlineLevel="1" ht="14.25" customFormat="1" customHeight="1" s="312">
      <c r="A69" s="349" t="n">
        <v>40</v>
      </c>
      <c r="B69" s="349" t="inlineStr">
        <is>
          <t>14.4.03.03-0102</t>
        </is>
      </c>
      <c r="C69" s="357" t="inlineStr">
        <is>
          <t>Лак битумный БТ-577</t>
        </is>
      </c>
      <c r="D69" s="349" t="inlineStr">
        <is>
          <t>т</t>
        </is>
      </c>
      <c r="E69" s="221" t="n">
        <v>0.0036</v>
      </c>
      <c r="F69" s="359" t="n">
        <v>9550.01</v>
      </c>
      <c r="G69" s="219">
        <f>ROUND(E69*F69,2)</f>
        <v/>
      </c>
      <c r="H69" s="296">
        <f>G69/$G$81</f>
        <v/>
      </c>
      <c r="I69" s="219">
        <f>ROUND(F69*'Прил. 10'!$D$13,2)</f>
        <v/>
      </c>
      <c r="J69" s="219">
        <f>ROUND(I69*E69,2)</f>
        <v/>
      </c>
    </row>
    <row r="70" hidden="1" outlineLevel="1" ht="38.25" customFormat="1" customHeight="1" s="312">
      <c r="A70" s="349" t="n">
        <v>41</v>
      </c>
      <c r="B70" s="349" t="inlineStr">
        <is>
          <t>25.2.02.01-0011</t>
        </is>
      </c>
      <c r="C70" s="357" t="inlineStr">
        <is>
          <t>Болт специальный для крепления с гайкой и шайбой, диаметр 12-16 мм, длина 400 мм</t>
        </is>
      </c>
      <c r="D70" s="349" t="inlineStr">
        <is>
          <t>т</t>
        </is>
      </c>
      <c r="E70" s="221" t="n">
        <v>0.0021</v>
      </c>
      <c r="F70" s="359" t="n">
        <v>12539.84</v>
      </c>
      <c r="G70" s="219">
        <f>ROUND(E70*F70,2)</f>
        <v/>
      </c>
      <c r="H70" s="296">
        <f>G70/$G$81</f>
        <v/>
      </c>
      <c r="I70" s="219">
        <f>ROUND(F70*'Прил. 10'!$D$13,2)</f>
        <v/>
      </c>
      <c r="J70" s="219">
        <f>ROUND(I70*E70,2)</f>
        <v/>
      </c>
    </row>
    <row r="71" hidden="1" outlineLevel="1" ht="14.25" customFormat="1" customHeight="1" s="312">
      <c r="A71" s="349" t="n">
        <v>42</v>
      </c>
      <c r="B71" s="349" t="inlineStr">
        <is>
          <t>01.7.15.03-0042</t>
        </is>
      </c>
      <c r="C71" s="357" t="inlineStr">
        <is>
          <t>Болты с гайками и шайбами строительные</t>
        </is>
      </c>
      <c r="D71" s="349" t="inlineStr">
        <is>
          <t>кг</t>
        </is>
      </c>
      <c r="E71" s="221" t="n">
        <v>2.462</v>
      </c>
      <c r="F71" s="359" t="n">
        <v>9.039999999999999</v>
      </c>
      <c r="G71" s="219">
        <f>ROUND(E71*F71,2)</f>
        <v/>
      </c>
      <c r="H71" s="296">
        <f>G71/$G$81</f>
        <v/>
      </c>
      <c r="I71" s="219">
        <f>ROUND(F71*'Прил. 10'!$D$13,2)</f>
        <v/>
      </c>
      <c r="J71" s="219">
        <f>ROUND(I71*E71,2)</f>
        <v/>
      </c>
    </row>
    <row r="72" hidden="1" outlineLevel="1" ht="14.25" customFormat="1" customHeight="1" s="312">
      <c r="A72" s="349" t="n">
        <v>43</v>
      </c>
      <c r="B72" s="349" t="inlineStr">
        <is>
          <t>01.7.15.07-0014</t>
        </is>
      </c>
      <c r="C72" s="357" t="inlineStr">
        <is>
          <t>Дюбели распорные полипропиленовые</t>
        </is>
      </c>
      <c r="D72" s="349" t="inlineStr">
        <is>
          <t>100 шт</t>
        </is>
      </c>
      <c r="E72" s="221" t="n">
        <v>0.2323</v>
      </c>
      <c r="F72" s="359" t="n">
        <v>86</v>
      </c>
      <c r="G72" s="219">
        <f>ROUND(E72*F72,2)</f>
        <v/>
      </c>
      <c r="H72" s="296">
        <f>G72/$G$81</f>
        <v/>
      </c>
      <c r="I72" s="219">
        <f>ROUND(F72*'Прил. 10'!$D$13,2)</f>
        <v/>
      </c>
      <c r="J72" s="219">
        <f>ROUND(I72*E72,2)</f>
        <v/>
      </c>
    </row>
    <row r="73" hidden="1" outlineLevel="1" ht="14.25" customFormat="1" customHeight="1" s="312">
      <c r="A73" s="349" t="n">
        <v>44</v>
      </c>
      <c r="B73" s="349" t="inlineStr">
        <is>
          <t>14.4.02.09-0001</t>
        </is>
      </c>
      <c r="C73" s="357" t="inlineStr">
        <is>
          <t>Краска</t>
        </is>
      </c>
      <c r="D73" s="349" t="inlineStr">
        <is>
          <t>кг</t>
        </is>
      </c>
      <c r="E73" s="221" t="n">
        <v>0.4646</v>
      </c>
      <c r="F73" s="359" t="n">
        <v>28.6</v>
      </c>
      <c r="G73" s="219">
        <f>ROUND(E73*F73,2)</f>
        <v/>
      </c>
      <c r="H73" s="296">
        <f>G73/$G$81</f>
        <v/>
      </c>
      <c r="I73" s="219">
        <f>ROUND(F73*'Прил. 10'!$D$13,2)</f>
        <v/>
      </c>
      <c r="J73" s="219">
        <f>ROUND(I73*E73,2)</f>
        <v/>
      </c>
    </row>
    <row r="74" hidden="1" outlineLevel="1" ht="14.25" customFormat="1" customHeight="1" s="312">
      <c r="A74" s="349" t="n">
        <v>45</v>
      </c>
      <c r="B74" s="349" t="inlineStr">
        <is>
          <t>08.3.03.06-0001</t>
        </is>
      </c>
      <c r="C74" s="357" t="inlineStr">
        <is>
          <t>Проволока вязальная</t>
        </is>
      </c>
      <c r="D74" s="349" t="inlineStr">
        <is>
          <t>кг</t>
        </is>
      </c>
      <c r="E74" s="221" t="n">
        <v>1.2936</v>
      </c>
      <c r="F74" s="359" t="n">
        <v>9.5</v>
      </c>
      <c r="G74" s="219">
        <f>ROUND(E74*F74,2)</f>
        <v/>
      </c>
      <c r="H74" s="296">
        <f>G74/$G$81</f>
        <v/>
      </c>
      <c r="I74" s="219">
        <f>ROUND(F74*'Прил. 10'!$D$13,2)</f>
        <v/>
      </c>
      <c r="J74" s="219">
        <f>ROUND(I74*E74,2)</f>
        <v/>
      </c>
    </row>
    <row r="75" hidden="1" outlineLevel="1" ht="14.25" customFormat="1" customHeight="1" s="312">
      <c r="A75" s="349" t="n">
        <v>46</v>
      </c>
      <c r="B75" s="349" t="inlineStr">
        <is>
          <t>14.5.09.11-0102</t>
        </is>
      </c>
      <c r="C75" s="357" t="inlineStr">
        <is>
          <t>Уайт-спирит</t>
        </is>
      </c>
      <c r="D75" s="349" t="inlineStr">
        <is>
          <t>кг</t>
        </is>
      </c>
      <c r="E75" s="221" t="n">
        <v>1.5</v>
      </c>
      <c r="F75" s="359" t="n">
        <v>6.67</v>
      </c>
      <c r="G75" s="219">
        <f>ROUND(E75*F75,2)</f>
        <v/>
      </c>
      <c r="H75" s="296">
        <f>G75/$G$81</f>
        <v/>
      </c>
      <c r="I75" s="219">
        <f>ROUND(F75*'Прил. 10'!$D$13,2)</f>
        <v/>
      </c>
      <c r="J75" s="219">
        <f>ROUND(I75*E75,2)</f>
        <v/>
      </c>
    </row>
    <row r="76" hidden="1" outlineLevel="1" ht="14.25" customFormat="1" customHeight="1" s="312">
      <c r="A76" s="349" t="n">
        <v>47</v>
      </c>
      <c r="B76" s="349" t="inlineStr">
        <is>
          <t>01.3.01.06-0046</t>
        </is>
      </c>
      <c r="C76" s="357" t="inlineStr">
        <is>
          <t>Смазка солидол жировой марки «Ж»</t>
        </is>
      </c>
      <c r="D76" s="349" t="inlineStr">
        <is>
          <t>т</t>
        </is>
      </c>
      <c r="E76" s="221" t="n">
        <v>0.001</v>
      </c>
      <c r="F76" s="359" t="n">
        <v>9661.5</v>
      </c>
      <c r="G76" s="219">
        <f>ROUND(E76*F76,2)</f>
        <v/>
      </c>
      <c r="H76" s="296">
        <f>G76/$G$81</f>
        <v/>
      </c>
      <c r="I76" s="219">
        <f>ROUND(F76*'Прил. 10'!$D$13,2)</f>
        <v/>
      </c>
      <c r="J76" s="219">
        <f>ROUND(I76*E76,2)</f>
        <v/>
      </c>
    </row>
    <row r="77" hidden="1" outlineLevel="1" ht="14.25" customFormat="1" customHeight="1" s="312">
      <c r="A77" s="349" t="n">
        <v>48</v>
      </c>
      <c r="B77" s="349" t="inlineStr">
        <is>
          <t>01.3.01.01-0010</t>
        </is>
      </c>
      <c r="C77" s="357" t="inlineStr">
        <is>
          <t>Бензин-растворитель</t>
        </is>
      </c>
      <c r="D77" s="349" t="inlineStr">
        <is>
          <t>кг</t>
        </is>
      </c>
      <c r="E77" s="221" t="n">
        <v>0.8</v>
      </c>
      <c r="F77" s="359" t="n">
        <v>6.15</v>
      </c>
      <c r="G77" s="219">
        <f>ROUND(E77*F77,2)</f>
        <v/>
      </c>
      <c r="H77" s="296">
        <f>G77/$G$81</f>
        <v/>
      </c>
      <c r="I77" s="219">
        <f>ROUND(F77*'Прил. 10'!$D$13,2)</f>
        <v/>
      </c>
      <c r="J77" s="219">
        <f>ROUND(I77*E77,2)</f>
        <v/>
      </c>
    </row>
    <row r="78" hidden="1" outlineLevel="1" ht="14.25" customFormat="1" customHeight="1" s="312">
      <c r="A78" s="349" t="n">
        <v>49</v>
      </c>
      <c r="B78" s="349" t="inlineStr">
        <is>
          <t>01.7.20.08-0051</t>
        </is>
      </c>
      <c r="C78" s="357" t="inlineStr">
        <is>
          <t>Ветошь</t>
        </is>
      </c>
      <c r="D78" s="349" t="inlineStr">
        <is>
          <t>кг</t>
        </is>
      </c>
      <c r="E78" s="221" t="n">
        <v>1.3626</v>
      </c>
      <c r="F78" s="359" t="n">
        <v>1.82</v>
      </c>
      <c r="G78" s="219">
        <f>ROUND(E78*F78,2)</f>
        <v/>
      </c>
      <c r="H78" s="296">
        <f>G78/$G$81</f>
        <v/>
      </c>
      <c r="I78" s="219">
        <f>ROUND(F78*'Прил. 10'!$D$13,2)</f>
        <v/>
      </c>
      <c r="J78" s="219">
        <f>ROUND(I78*E78,2)</f>
        <v/>
      </c>
    </row>
    <row r="79" hidden="1" outlineLevel="1" ht="25.5" customFormat="1" customHeight="1" s="312">
      <c r="A79" s="349" t="n">
        <v>50</v>
      </c>
      <c r="B79" s="349" t="inlineStr">
        <is>
          <t>999-9950</t>
        </is>
      </c>
      <c r="C79" s="357" t="inlineStr">
        <is>
          <t>Вспомогательные ненормируемые ресурсы (2% от Оплаты труда рабочих)</t>
        </is>
      </c>
      <c r="D79" s="349" t="inlineStr">
        <is>
          <t>руб.</t>
        </is>
      </c>
      <c r="E79" s="221" t="n">
        <v>0.6969</v>
      </c>
      <c r="F79" s="359" t="n">
        <v>1</v>
      </c>
      <c r="G79" s="219">
        <f>ROUND(E79*F79,2)</f>
        <v/>
      </c>
      <c r="H79" s="296">
        <f>G79/$G$81</f>
        <v/>
      </c>
      <c r="I79" s="219">
        <f>ROUND(F79*'Прил. 10'!$D$13,2)</f>
        <v/>
      </c>
      <c r="J79" s="219">
        <f>ROUND(I79*E79,2)</f>
        <v/>
      </c>
    </row>
    <row r="80" collapsed="1" ht="14.25" customFormat="1" customHeight="1" s="312">
      <c r="A80" s="349" t="n"/>
      <c r="B80" s="349" t="n"/>
      <c r="C80" s="357" t="inlineStr">
        <is>
          <t>Итого прочие материалы</t>
        </is>
      </c>
      <c r="D80" s="349" t="n"/>
      <c r="E80" s="358" t="n"/>
      <c r="F80" s="359" t="n"/>
      <c r="G80" s="232">
        <f>SUM(G47:G79)</f>
        <v/>
      </c>
      <c r="H80" s="296">
        <f>G80/$G$81</f>
        <v/>
      </c>
      <c r="I80" s="219" t="n"/>
      <c r="J80" s="232">
        <f>SUM(J47:J79)</f>
        <v/>
      </c>
    </row>
    <row r="81" ht="14.25" customFormat="1" customHeight="1" s="312">
      <c r="A81" s="349" t="n"/>
      <c r="B81" s="349" t="n"/>
      <c r="C81" s="339" t="inlineStr">
        <is>
          <t>Итого по разделу «Материалы»</t>
        </is>
      </c>
      <c r="D81" s="349" t="n"/>
      <c r="E81" s="358" t="n"/>
      <c r="F81" s="359" t="n"/>
      <c r="G81" s="219">
        <f>G46+G80</f>
        <v/>
      </c>
      <c r="H81" s="296">
        <f>G81/$G$81</f>
        <v/>
      </c>
      <c r="I81" s="219" t="n"/>
      <c r="J81" s="219">
        <f>J46+J80</f>
        <v/>
      </c>
    </row>
    <row r="82" ht="14.25" customFormat="1" customHeight="1" s="312">
      <c r="A82" s="349" t="n"/>
      <c r="B82" s="349" t="n"/>
      <c r="C82" s="357" t="inlineStr">
        <is>
          <t>ИТОГО ПО РМ</t>
        </is>
      </c>
      <c r="D82" s="349" t="n"/>
      <c r="E82" s="358" t="n"/>
      <c r="F82" s="359" t="n"/>
      <c r="G82" s="219">
        <f>G15+G30+G81</f>
        <v/>
      </c>
      <c r="H82" s="360" t="n"/>
      <c r="I82" s="219" t="n"/>
      <c r="J82" s="219">
        <f>J15+J30+J81</f>
        <v/>
      </c>
    </row>
    <row r="83" ht="14.25" customFormat="1" customHeight="1" s="312">
      <c r="A83" s="349" t="n"/>
      <c r="B83" s="349" t="n"/>
      <c r="C83" s="357" t="inlineStr">
        <is>
          <t>Накладные расходы</t>
        </is>
      </c>
      <c r="D83" s="215">
        <f>ROUND(G83/(G$17+$G$15),2)</f>
        <v/>
      </c>
      <c r="E83" s="358" t="n"/>
      <c r="F83" s="359" t="n"/>
      <c r="G83" s="219" t="n">
        <v>5359</v>
      </c>
      <c r="H83" s="360" t="n"/>
      <c r="I83" s="219" t="n"/>
      <c r="J83" s="219">
        <f>ROUND(D83*(J15+J17),2)</f>
        <v/>
      </c>
    </row>
    <row r="84" ht="14.25" customFormat="1" customHeight="1" s="312">
      <c r="A84" s="349" t="n"/>
      <c r="B84" s="349" t="n"/>
      <c r="C84" s="357" t="inlineStr">
        <is>
          <t>Сметная прибыль</t>
        </is>
      </c>
      <c r="D84" s="215">
        <f>ROUND(G84/(G$15+G$17),2)</f>
        <v/>
      </c>
      <c r="E84" s="358" t="n"/>
      <c r="F84" s="359" t="n"/>
      <c r="G84" s="219" t="n">
        <v>3066</v>
      </c>
      <c r="H84" s="360" t="n"/>
      <c r="I84" s="219" t="n"/>
      <c r="J84" s="219">
        <f>ROUND(D84*(J15+J17),2)</f>
        <v/>
      </c>
    </row>
    <row r="85" ht="14.25" customFormat="1" customHeight="1" s="312">
      <c r="A85" s="349" t="n"/>
      <c r="B85" s="349" t="n"/>
      <c r="C85" s="357" t="inlineStr">
        <is>
          <t>Итого СМР (с НР и СП)</t>
        </is>
      </c>
      <c r="D85" s="349" t="n"/>
      <c r="E85" s="358" t="n"/>
      <c r="F85" s="359" t="n"/>
      <c r="G85" s="219">
        <f>G15+G30+G81+G83+G84</f>
        <v/>
      </c>
      <c r="H85" s="360" t="n"/>
      <c r="I85" s="219" t="n"/>
      <c r="J85" s="219">
        <f>J15+J30+J81+J83+J84</f>
        <v/>
      </c>
    </row>
    <row r="86" ht="14.25" customFormat="1" customHeight="1" s="312">
      <c r="A86" s="349" t="n"/>
      <c r="B86" s="349" t="n"/>
      <c r="C86" s="357" t="inlineStr">
        <is>
          <t>ВСЕГО СМР + ОБОРУДОВАНИЕ</t>
        </is>
      </c>
      <c r="D86" s="349" t="n"/>
      <c r="E86" s="358" t="n"/>
      <c r="F86" s="359" t="n"/>
      <c r="G86" s="219">
        <f>G85+G35</f>
        <v/>
      </c>
      <c r="H86" s="360" t="n"/>
      <c r="I86" s="219" t="n"/>
      <c r="J86" s="219">
        <f>J85+J35</f>
        <v/>
      </c>
    </row>
    <row r="87" ht="34.5" customFormat="1" customHeight="1" s="312">
      <c r="A87" s="349" t="n"/>
      <c r="B87" s="349" t="n"/>
      <c r="C87" s="357" t="inlineStr">
        <is>
          <t>ИТОГО ПОКАЗАТЕЛЬ НА ЕД. ИЗМ.</t>
        </is>
      </c>
      <c r="D87" s="349" t="inlineStr">
        <is>
          <t>1 тн опор</t>
        </is>
      </c>
      <c r="E87" s="297" t="n">
        <v>45</v>
      </c>
      <c r="F87" s="359" t="n"/>
      <c r="G87" s="219">
        <f>G86/E87</f>
        <v/>
      </c>
      <c r="H87" s="360" t="n"/>
      <c r="I87" s="219" t="n"/>
      <c r="J87" s="219">
        <f>J86/E87</f>
        <v/>
      </c>
    </row>
    <row r="89" ht="14.25" customFormat="1" customHeight="1" s="312">
      <c r="A89" s="311" t="inlineStr">
        <is>
          <t>Составил ______________________     Е. М. Добровольская</t>
        </is>
      </c>
    </row>
    <row r="90" ht="14.25" customFormat="1" customHeight="1" s="312">
      <c r="A90" s="314" t="inlineStr">
        <is>
          <t xml:space="preserve">                         (подпись, инициалы, фамилия)</t>
        </is>
      </c>
    </row>
    <row r="91" ht="14.25" customFormat="1" customHeight="1" s="312">
      <c r="A91" s="311" t="n"/>
    </row>
    <row r="92" ht="14.25" customFormat="1" customHeight="1" s="312">
      <c r="A92" s="311" t="inlineStr">
        <is>
          <t>Проверил ______________________        А.В. Костянецкая</t>
        </is>
      </c>
    </row>
    <row r="93" ht="14.25" customFormat="1" customHeight="1" s="312">
      <c r="A93" s="31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A7:H7"/>
    <mergeCell ref="B16:H16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38:H38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304" min="1" max="1"/>
    <col width="17.5546875" customWidth="1" style="304" min="2" max="2"/>
    <col width="39.109375" customWidth="1" style="304" min="3" max="3"/>
    <col width="10.6640625" customWidth="1" style="304" min="4" max="4"/>
    <col width="13.88671875" customWidth="1" style="304" min="5" max="5"/>
    <col width="13.33203125" customWidth="1" style="304" min="6" max="6"/>
    <col width="14.109375" customWidth="1" style="304" min="7" max="7"/>
  </cols>
  <sheetData>
    <row r="1">
      <c r="A1" s="371" t="inlineStr">
        <is>
          <t>Приложение №6</t>
        </is>
      </c>
    </row>
    <row r="2" ht="21.75" customHeight="1" s="304">
      <c r="A2" s="371" t="n"/>
      <c r="B2" s="371" t="n"/>
      <c r="C2" s="371" t="n"/>
      <c r="D2" s="371" t="n"/>
      <c r="E2" s="371" t="n"/>
      <c r="F2" s="371" t="n"/>
      <c r="G2" s="371" t="n"/>
    </row>
    <row r="3">
      <c r="A3" s="317" t="inlineStr">
        <is>
          <t>Расчет стоимости оборудования</t>
        </is>
      </c>
    </row>
    <row r="4" ht="25.5" customHeight="1" s="304">
      <c r="A4" s="320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" customHeight="1" s="304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49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24" t="n"/>
    </row>
    <row r="7">
      <c r="A7" s="426" t="n"/>
      <c r="B7" s="426" t="n"/>
      <c r="C7" s="426" t="n"/>
      <c r="D7" s="426" t="n"/>
      <c r="E7" s="426" t="n"/>
      <c r="F7" s="349" t="inlineStr">
        <is>
          <t>на ед. изм.</t>
        </is>
      </c>
      <c r="G7" s="349" t="inlineStr">
        <is>
          <t>общая</t>
        </is>
      </c>
    </row>
    <row r="8">
      <c r="A8" s="349" t="n">
        <v>1</v>
      </c>
      <c r="B8" s="349" t="n">
        <v>2</v>
      </c>
      <c r="C8" s="349" t="n">
        <v>3</v>
      </c>
      <c r="D8" s="349" t="n">
        <v>4</v>
      </c>
      <c r="E8" s="349" t="n">
        <v>5</v>
      </c>
      <c r="F8" s="349" t="n">
        <v>6</v>
      </c>
      <c r="G8" s="349" t="n">
        <v>7</v>
      </c>
    </row>
    <row r="9" ht="15" customHeight="1" s="304">
      <c r="A9" s="258" t="n"/>
      <c r="B9" s="357" t="inlineStr">
        <is>
          <t>ИНЖЕНЕРНОЕ ОБОРУДОВАНИЕ</t>
        </is>
      </c>
      <c r="C9" s="423" t="n"/>
      <c r="D9" s="423" t="n"/>
      <c r="E9" s="423" t="n"/>
      <c r="F9" s="423" t="n"/>
      <c r="G9" s="424" t="n"/>
    </row>
    <row r="10" ht="27" customHeight="1" s="304">
      <c r="A10" s="349" t="n"/>
      <c r="B10" s="339" t="n"/>
      <c r="C10" s="357" t="inlineStr">
        <is>
          <t>ИТОГО ИНЖЕНЕРНОЕ ОБОРУДОВАНИЕ</t>
        </is>
      </c>
      <c r="D10" s="339" t="n"/>
      <c r="E10" s="142" t="n"/>
      <c r="F10" s="359" t="n"/>
      <c r="G10" s="359" t="n">
        <v>0</v>
      </c>
    </row>
    <row r="11">
      <c r="A11" s="349" t="n"/>
      <c r="B11" s="357" t="inlineStr">
        <is>
          <t>ТЕХНОЛОГИЧЕСКОЕ ОБОРУДОВАНИЕ</t>
        </is>
      </c>
      <c r="C11" s="423" t="n"/>
      <c r="D11" s="423" t="n"/>
      <c r="E11" s="423" t="n"/>
      <c r="F11" s="423" t="n"/>
      <c r="G11" s="424" t="n"/>
    </row>
    <row r="12" ht="41.25" customHeight="1" s="304">
      <c r="A12" s="349" t="n">
        <v>1</v>
      </c>
      <c r="B12" s="357" t="n"/>
      <c r="C12" s="357" t="n"/>
      <c r="D12" s="349" t="n"/>
      <c r="E12" s="221" t="n"/>
      <c r="F12" s="375" t="n"/>
      <c r="G12" s="219" t="n"/>
    </row>
    <row r="13" ht="25.5" customHeight="1" s="304">
      <c r="A13" s="349" t="n"/>
      <c r="B13" s="357" t="n"/>
      <c r="C13" s="357" t="inlineStr">
        <is>
          <t>ИТОГО ТЕХНОЛОГИЧЕСКОЕ ОБОРУДОВАНИЕ</t>
        </is>
      </c>
      <c r="D13" s="357" t="n"/>
      <c r="E13" s="375" t="n"/>
      <c r="F13" s="359" t="n"/>
      <c r="G13" s="219">
        <f>SUM(G12:G12)</f>
        <v/>
      </c>
    </row>
    <row r="14" ht="19.5" customHeight="1" s="304">
      <c r="A14" s="349" t="n"/>
      <c r="B14" s="357" t="n"/>
      <c r="C14" s="357" t="inlineStr">
        <is>
          <t>Всего по разделу «Оборудование»</t>
        </is>
      </c>
      <c r="D14" s="357" t="n"/>
      <c r="E14" s="375" t="n"/>
      <c r="F14" s="359" t="n"/>
      <c r="G14" s="219">
        <f>G10+G13</f>
        <v/>
      </c>
    </row>
    <row r="15">
      <c r="A15" s="313" t="n"/>
      <c r="B15" s="145" t="n"/>
      <c r="C15" s="313" t="n"/>
      <c r="D15" s="313" t="n"/>
      <c r="E15" s="313" t="n"/>
      <c r="F15" s="313" t="n"/>
      <c r="G15" s="313" t="n"/>
    </row>
    <row r="16">
      <c r="A16" s="311" t="inlineStr">
        <is>
          <t>Составил ______________________    Е. М. Добровольская</t>
        </is>
      </c>
      <c r="B16" s="312" t="n"/>
      <c r="C16" s="312" t="n"/>
      <c r="D16" s="313" t="n"/>
      <c r="E16" s="313" t="n"/>
      <c r="F16" s="313" t="n"/>
      <c r="G16" s="313" t="n"/>
    </row>
    <row r="17">
      <c r="A17" s="314" t="inlineStr">
        <is>
          <t xml:space="preserve">                         (подпись, инициалы, фамилия)</t>
        </is>
      </c>
      <c r="B17" s="312" t="n"/>
      <c r="C17" s="312" t="n"/>
      <c r="D17" s="313" t="n"/>
      <c r="E17" s="313" t="n"/>
      <c r="F17" s="313" t="n"/>
      <c r="G17" s="313" t="n"/>
    </row>
    <row r="18">
      <c r="A18" s="311" t="n"/>
      <c r="B18" s="312" t="n"/>
      <c r="C18" s="312" t="n"/>
      <c r="D18" s="313" t="n"/>
      <c r="E18" s="313" t="n"/>
      <c r="F18" s="313" t="n"/>
      <c r="G18" s="313" t="n"/>
    </row>
    <row r="19">
      <c r="A19" s="311" t="inlineStr">
        <is>
          <t>Проверил ______________________        А.В. Костянецкая</t>
        </is>
      </c>
      <c r="B19" s="312" t="n"/>
      <c r="C19" s="312" t="n"/>
      <c r="D19" s="313" t="n"/>
      <c r="E19" s="313" t="n"/>
      <c r="F19" s="313" t="n"/>
      <c r="G19" s="313" t="n"/>
    </row>
    <row r="20">
      <c r="A20" s="314" t="inlineStr">
        <is>
          <t xml:space="preserve">                        (подпись, инициалы, фамилия)</t>
        </is>
      </c>
      <c r="B20" s="312" t="n"/>
      <c r="C20" s="312" t="n"/>
      <c r="D20" s="313" t="n"/>
      <c r="E20" s="313" t="n"/>
      <c r="F20" s="313" t="n"/>
      <c r="G20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04" min="1" max="1"/>
    <col width="22.44140625" customWidth="1" style="304" min="2" max="2"/>
    <col width="37.109375" customWidth="1" style="304" min="3" max="3"/>
    <col width="49" customWidth="1" style="304" min="4" max="4"/>
    <col width="9.109375" customWidth="1" style="304" min="5" max="5"/>
  </cols>
  <sheetData>
    <row r="1" ht="15.75" customHeight="1" s="304">
      <c r="A1" s="307" t="n"/>
      <c r="B1" s="307" t="n"/>
      <c r="C1" s="307" t="n"/>
      <c r="D1" s="307" t="inlineStr">
        <is>
          <t>Приложение №7</t>
        </is>
      </c>
    </row>
    <row r="2" ht="15.75" customHeight="1" s="304">
      <c r="A2" s="307" t="n"/>
      <c r="B2" s="307" t="n"/>
      <c r="C2" s="307" t="n"/>
      <c r="D2" s="307" t="n"/>
    </row>
    <row r="3" ht="15.75" customHeight="1" s="304">
      <c r="A3" s="307" t="n"/>
      <c r="B3" s="305" t="inlineStr">
        <is>
          <t>Расчет показателя УНЦ</t>
        </is>
      </c>
      <c r="C3" s="307" t="n"/>
      <c r="D3" s="307" t="n"/>
    </row>
    <row r="4" ht="15.75" customHeight="1" s="304">
      <c r="A4" s="307" t="n"/>
      <c r="B4" s="307" t="n"/>
      <c r="C4" s="307" t="n"/>
      <c r="D4" s="307" t="n"/>
    </row>
    <row r="5" ht="47.25" customHeight="1" s="304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304">
      <c r="A6" s="307" t="inlineStr">
        <is>
          <t>Единица измерения  — 1 тн опор</t>
        </is>
      </c>
      <c r="B6" s="307" t="n"/>
      <c r="C6" s="307" t="n"/>
      <c r="D6" s="307" t="n"/>
    </row>
    <row r="7" ht="15.75" customHeight="1" s="304">
      <c r="A7" s="307" t="n"/>
      <c r="B7" s="307" t="n"/>
      <c r="C7" s="307" t="n"/>
      <c r="D7" s="307" t="n"/>
    </row>
    <row r="8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>
      <c r="A9" s="426" t="n"/>
      <c r="B9" s="426" t="n"/>
      <c r="C9" s="426" t="n"/>
      <c r="D9" s="426" t="n"/>
    </row>
    <row r="10" ht="15.75" customHeight="1" s="304">
      <c r="A10" s="331" t="n">
        <v>1</v>
      </c>
      <c r="B10" s="331" t="n">
        <v>2</v>
      </c>
      <c r="C10" s="331" t="n">
        <v>3</v>
      </c>
      <c r="D10" s="331" t="n">
        <v>4</v>
      </c>
    </row>
    <row r="11" ht="78.75" customHeight="1" s="304">
      <c r="A11" s="331" t="inlineStr">
        <is>
          <t>Л2-02-1</t>
        </is>
      </c>
      <c r="B11" s="331" t="inlineStr">
        <is>
          <t>УНЦ ВЛ 0,4 - 750 кВ на строительно-монтажные работы без опор и провода</t>
        </is>
      </c>
      <c r="C11" s="309">
        <f>D5</f>
        <v/>
      </c>
      <c r="D11" s="310">
        <f>'Прил.4 РМ'!C41/1000</f>
        <v/>
      </c>
    </row>
    <row r="13">
      <c r="A13" s="311" t="inlineStr">
        <is>
          <t>Составил ______________________     Е. М. Добровольская</t>
        </is>
      </c>
      <c r="B13" s="312" t="n"/>
      <c r="C13" s="312" t="n"/>
      <c r="D13" s="313" t="n"/>
    </row>
    <row r="14">
      <c r="A14" s="314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11" t="n"/>
      <c r="B15" s="312" t="n"/>
      <c r="C15" s="312" t="n"/>
      <c r="D15" s="313" t="n"/>
    </row>
    <row r="16">
      <c r="A16" s="311" t="inlineStr">
        <is>
          <t>Проверил ______________________        А.В. Костянецкая</t>
        </is>
      </c>
      <c r="B16" s="312" t="n"/>
      <c r="C16" s="312" t="n"/>
      <c r="D16" s="313" t="n"/>
    </row>
    <row r="17" ht="20.25" customHeight="1" s="304">
      <c r="A17" s="314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RowHeight="14.4"/>
  <cols>
    <col width="9.109375" customWidth="1" style="304" min="1" max="1"/>
    <col width="40.6640625" customWidth="1" style="304" min="2" max="2"/>
    <col width="37" customWidth="1" style="304" min="3" max="3"/>
    <col width="32" customWidth="1" style="304" min="4" max="4"/>
    <col width="9.109375" customWidth="1" style="304" min="5" max="5"/>
  </cols>
  <sheetData>
    <row r="4" ht="15.75" customHeight="1" s="304">
      <c r="B4" s="324" t="inlineStr">
        <is>
          <t>Приложение № 10</t>
        </is>
      </c>
    </row>
    <row r="5" ht="18.75" customHeight="1" s="304">
      <c r="B5" s="184" t="n"/>
    </row>
    <row r="6" ht="15.75" customHeight="1" s="304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4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304">
      <c r="B10" s="331" t="n">
        <v>1</v>
      </c>
      <c r="C10" s="331" t="n">
        <v>2</v>
      </c>
      <c r="D10" s="331" t="n">
        <v>3</v>
      </c>
    </row>
    <row r="11" ht="45" customHeight="1" s="304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29.25" customHeight="1" s="304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11.72</v>
      </c>
    </row>
    <row r="13" ht="29.25" customHeight="1" s="304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7.74</v>
      </c>
    </row>
    <row r="14" ht="30.75" customHeight="1" s="304">
      <c r="B14" s="33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1" t="n">
        <v>6.26</v>
      </c>
    </row>
    <row r="15" ht="89.25" customHeight="1" s="304">
      <c r="B15" s="331" t="inlineStr">
        <is>
          <t>Временные здания и сооружения</t>
        </is>
      </c>
      <c r="C15" s="3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04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0.019</v>
      </c>
    </row>
    <row r="17" ht="31.5" customHeight="1" s="304">
      <c r="B17" s="331" t="inlineStr">
        <is>
          <t>Строительный контроль</t>
        </is>
      </c>
      <c r="C17" s="331" t="inlineStr">
        <is>
          <t>Постановление Правительства РФ от 21.06.10 г. № 468</t>
        </is>
      </c>
      <c r="D17" s="187" t="n">
        <v>0.0214</v>
      </c>
    </row>
    <row r="18" ht="31.5" customHeight="1" s="304">
      <c r="B18" s="331" t="inlineStr">
        <is>
          <t>Авторский надзор - 0,2%</t>
        </is>
      </c>
      <c r="C18" s="331" t="inlineStr">
        <is>
          <t>Приказ от 4.08.2020 № 421/пр п.173</t>
        </is>
      </c>
      <c r="D18" s="187" t="n">
        <v>0.002</v>
      </c>
    </row>
    <row r="19" ht="24" customHeight="1" s="304">
      <c r="B19" s="331" t="inlineStr">
        <is>
          <t>Непредвиденные расходы</t>
        </is>
      </c>
      <c r="C19" s="331" t="inlineStr">
        <is>
          <t>Приказ от 4.08.2020 № 421/пр п.179</t>
        </is>
      </c>
      <c r="D19" s="187" t="n">
        <v>0.03</v>
      </c>
    </row>
    <row r="20" ht="18.75" customHeight="1" s="304">
      <c r="B20" s="270" t="n"/>
    </row>
    <row r="21" ht="18.75" customHeight="1" s="304">
      <c r="B21" s="270" t="n"/>
    </row>
    <row r="22" ht="18.75" customHeight="1" s="304">
      <c r="B22" s="270" t="n"/>
    </row>
    <row r="23" ht="18.75" customHeight="1" s="304">
      <c r="B23" s="270" t="n"/>
    </row>
    <row r="26">
      <c r="B26" s="311" t="inlineStr">
        <is>
          <t>Составил ______________________     Е. М. Добровольская</t>
        </is>
      </c>
      <c r="C26" s="312" t="n"/>
    </row>
    <row r="27">
      <c r="B27" s="314" t="inlineStr">
        <is>
          <t xml:space="preserve">                         (подпись, инициалы, фамилия)</t>
        </is>
      </c>
      <c r="C27" s="312" t="n"/>
    </row>
    <row r="28">
      <c r="B28" s="311" t="n"/>
      <c r="C28" s="312" t="n"/>
    </row>
    <row r="29">
      <c r="B29" s="311" t="inlineStr">
        <is>
          <t>Проверил ______________________        А.В. Костянецкая</t>
        </is>
      </c>
      <c r="C29" s="312" t="n"/>
    </row>
    <row r="30">
      <c r="B30" s="314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D17" sqref="D17"/>
    </sheetView>
  </sheetViews>
  <sheetFormatPr baseColWidth="8" defaultRowHeight="14.4"/>
  <cols>
    <col width="9.109375" customWidth="1" style="304" min="1" max="1"/>
    <col width="44.88671875" customWidth="1" style="304" min="2" max="2"/>
    <col width="13" customWidth="1" style="304" min="3" max="3"/>
    <col width="22.88671875" customWidth="1" style="304" min="4" max="4"/>
    <col width="21.5546875" customWidth="1" style="304" min="5" max="5"/>
    <col width="43.88671875" customWidth="1" style="304" min="6" max="6"/>
    <col width="9.109375" customWidth="1" style="304" min="7" max="7"/>
  </cols>
  <sheetData>
    <row r="2" ht="17.25" customHeight="1" s="304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4">
      <c r="A4" s="167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4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307" t="n"/>
    </row>
    <row r="6" ht="15.75" customHeight="1" s="304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307" t="n"/>
    </row>
    <row r="7" ht="110.25" customHeight="1" s="304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310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4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310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04">
      <c r="A9" s="170" t="inlineStr">
        <is>
          <t>1.3</t>
        </is>
      </c>
      <c r="B9" s="174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310" t="n">
        <v>1</v>
      </c>
      <c r="F9" s="174" t="n"/>
      <c r="G9" s="176" t="n"/>
    </row>
    <row r="10" ht="15.75" customHeight="1" s="304">
      <c r="A10" s="170" t="inlineStr">
        <is>
          <t>1.4</t>
        </is>
      </c>
      <c r="B10" s="174" t="inlineStr">
        <is>
          <t>Средний разряд работ</t>
        </is>
      </c>
      <c r="C10" s="331" t="n"/>
      <c r="D10" s="331" t="n"/>
      <c r="E10" s="177" t="n">
        <v>3.4</v>
      </c>
      <c r="F10" s="174" t="inlineStr">
        <is>
          <t>РТМ</t>
        </is>
      </c>
      <c r="G10" s="176" t="n"/>
    </row>
    <row r="11" ht="78.75" customHeight="1" s="304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178" t="n">
        <v>1.247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4">
      <c r="A12" s="170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331" t="inlineStr">
        <is>
          <t>Кинф</t>
        </is>
      </c>
      <c r="D12" s="331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04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2025-01-24T12:09:51Z</dcterms:modified>
  <cp:lastModifiedBy>user1</cp:lastModifiedBy>
</cp:coreProperties>
</file>