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3040" windowHeight="8472" tabRatio="924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3'!$A$1:$H$41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ОБ'!$A$1:$J$64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_-* #,##0.00_-;\-* #,##0.00_-;_-* &quot;-&quot;??_-;_-@_-"/>
    <numFmt numFmtId="166" formatCode="#,##0.0"/>
    <numFmt numFmtId="167" formatCode="#,##0.000"/>
    <numFmt numFmtId="168" formatCode="0.0000"/>
    <numFmt numFmtId="169" formatCode="#,##0.0000"/>
    <numFmt numFmtId="170" formatCode="0.00000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Times New Roman"/>
      <color rgb="FF000000"/>
      <sz val="11"/>
    </font>
    <font>
      <name val="Calibri"/>
      <b val="1"/>
      <color rgb="FF000000"/>
      <sz val="12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49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165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/>
    </xf>
    <xf numFmtId="0" fontId="17" fillId="0" borderId="0" applyAlignment="1" pivotButton="0" quotePrefix="0" xfId="0">
      <alignment vertical="center"/>
    </xf>
    <xf numFmtId="166" fontId="16" fillId="0" borderId="1" applyAlignment="1" pivotButton="0" quotePrefix="0" xfId="0">
      <alignment horizontal="center" vertical="center"/>
    </xf>
    <xf numFmtId="167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8" fontId="16" fillId="4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0" fontId="18" fillId="0" borderId="1" applyAlignment="1" pivotButton="0" quotePrefix="0" xfId="0">
      <alignment vertical="center" wrapText="1"/>
    </xf>
    <xf numFmtId="4" fontId="18" fillId="0" borderId="1" applyAlignment="1" pivotButton="0" quotePrefix="0" xfId="0">
      <alignment horizontal="center" vertical="center"/>
    </xf>
    <xf numFmtId="0" fontId="19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justify" vertical="center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9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8" fontId="1" fillId="0" borderId="1" applyAlignment="1" pivotButton="0" quotePrefix="0" xfId="0">
      <alignment horizontal="center" vertical="center" wrapText="1"/>
    </xf>
    <xf numFmtId="10" fontId="20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21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21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18" fillId="0" borderId="0" pivotButton="0" quotePrefix="0" xfId="0"/>
    <xf numFmtId="4" fontId="18" fillId="0" borderId="1" applyAlignment="1" pivotButton="0" quotePrefix="0" xfId="0">
      <alignment vertical="top"/>
    </xf>
    <xf numFmtId="0" fontId="18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10" fontId="16" fillId="0" borderId="0" pivotButton="0" quotePrefix="0" xfId="0"/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165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4" fontId="21" fillId="0" borderId="0" applyAlignment="1" pivotButton="0" quotePrefix="0" xfId="0">
      <alignment wrapText="1"/>
    </xf>
    <xf numFmtId="0" fontId="19" fillId="0" borderId="0" applyAlignment="1" pivotButton="0" quotePrefix="0" xfId="0">
      <alignment horizontal="center" vertical="center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165" fontId="2" fillId="0" borderId="1" applyAlignment="1" pivotButton="0" quotePrefix="0" xfId="0">
      <alignment vertical="center" wrapText="1"/>
    </xf>
    <xf numFmtId="1" fontId="1" fillId="0" borderId="1" applyAlignment="1" pivotButton="0" quotePrefix="0" xfId="0">
      <alignment horizontal="center" vertical="top" wrapText="1"/>
    </xf>
    <xf numFmtId="0" fontId="22" fillId="0" borderId="0" applyAlignment="1" pivotButton="0" quotePrefix="0" xfId="0">
      <alignment horizontal="center" vertical="center"/>
    </xf>
    <xf numFmtId="2" fontId="16" fillId="0" borderId="0" pivotButton="0" quotePrefix="0" xfId="0"/>
    <xf numFmtId="10" fontId="0" fillId="0" borderId="0" pivotButton="0" quotePrefix="0" xfId="0"/>
    <xf numFmtId="14" fontId="16" fillId="0" borderId="1" applyAlignment="1" pivotButton="0" quotePrefix="0" xfId="0">
      <alignment horizontal="center" vertical="center" wrapText="1"/>
    </xf>
    <xf numFmtId="170" fontId="1" fillId="0" borderId="1" applyAlignment="1" pivotButton="0" quotePrefix="0" xfId="0">
      <alignment horizontal="center" vertical="top" wrapText="1"/>
    </xf>
    <xf numFmtId="0" fontId="23" fillId="4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top"/>
    </xf>
    <xf numFmtId="168" fontId="1" fillId="0" borderId="1" applyAlignment="1" pivotButton="0" quotePrefix="0" xfId="0">
      <alignment horizontal="center" vertical="top" wrapText="1"/>
    </xf>
    <xf numFmtId="2" fontId="1" fillId="0" borderId="1" applyAlignment="1" pivotButton="0" quotePrefix="0" xfId="0">
      <alignment horizontal="right" vertical="top" wrapText="1"/>
    </xf>
    <xf numFmtId="2" fontId="2" fillId="0" borderId="1" applyAlignment="1" pivotButton="0" quotePrefix="0" xfId="0">
      <alignment vertical="center" wrapText="1"/>
    </xf>
    <xf numFmtId="2" fontId="1" fillId="4" borderId="1" applyAlignment="1" pivotButton="0" quotePrefix="0" xfId="0">
      <alignment horizontal="right" vertical="top" wrapText="1"/>
    </xf>
    <xf numFmtId="4" fontId="16" fillId="0" borderId="1" applyAlignment="1" pivotButton="0" quotePrefix="0" xfId="0">
      <alignment horizontal="center" vertical="center"/>
    </xf>
    <xf numFmtId="49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center" wrapText="1"/>
    </xf>
    <xf numFmtId="0" fontId="1" fillId="4" borderId="1" applyAlignment="1" pivotButton="0" quotePrefix="0" xfId="0">
      <alignment horizontal="center" vertical="center" wrapText="1"/>
    </xf>
    <xf numFmtId="169" fontId="1" fillId="4" borderId="1" applyAlignment="1" pivotButton="0" quotePrefix="0" xfId="0">
      <alignment horizontal="center" vertical="center" wrapText="1"/>
    </xf>
    <xf numFmtId="4" fontId="1" fillId="4" borderId="1" applyAlignment="1" pivotButton="0" quotePrefix="0" xfId="0">
      <alignment horizontal="right" vertical="center" wrapText="1"/>
    </xf>
    <xf numFmtId="4" fontId="1" fillId="4" borderId="1" applyAlignment="1" pivotButton="0" quotePrefix="0" xfId="0">
      <alignment horizontal="right" vertical="center" wrapText="1"/>
    </xf>
    <xf numFmtId="10" fontId="1" fillId="4" borderId="1" applyAlignment="1" pivotButton="0" quotePrefix="0" xfId="0">
      <alignment horizontal="right" vertical="center" wrapText="1"/>
    </xf>
    <xf numFmtId="0" fontId="2" fillId="4" borderId="1" applyAlignment="1" pivotButton="0" quotePrefix="0" xfId="0">
      <alignment horizontal="left" vertical="center" wrapText="1"/>
    </xf>
    <xf numFmtId="10" fontId="1" fillId="4" borderId="2" applyAlignment="1" pivotButton="0" quotePrefix="0" xfId="0">
      <alignment horizontal="right" vertical="center" wrapText="1"/>
    </xf>
    <xf numFmtId="0" fontId="4" fillId="4" borderId="1" pivotButton="0" quotePrefix="0" xfId="0"/>
    <xf numFmtId="2" fontId="1" fillId="4" borderId="1" applyAlignment="1" pivotButton="0" quotePrefix="0" xfId="0">
      <alignment horizontal="right" vertical="center" wrapText="1"/>
    </xf>
    <xf numFmtId="4" fontId="1" fillId="4" borderId="4" applyAlignment="1" pivotButton="0" quotePrefix="0" xfId="0">
      <alignment horizontal="right" vertical="center" wrapText="1"/>
    </xf>
    <xf numFmtId="4" fontId="1" fillId="4" borderId="1" applyAlignment="1" pivotButton="0" quotePrefix="0" xfId="0">
      <alignment horizontal="right" vertical="center" wrapText="1"/>
    </xf>
    <xf numFmtId="0" fontId="16" fillId="0" borderId="0" pivotButton="0" quotePrefix="0" xfId="0"/>
    <xf numFmtId="0" fontId="0" fillId="0" borderId="0" pivotButton="0" quotePrefix="0" xfId="0"/>
    <xf numFmtId="0" fontId="18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5" fillId="0" borderId="1" applyAlignment="1" pivotButton="0" quotePrefix="0" xfId="0">
      <alignment vertical="center" wrapText="1"/>
    </xf>
    <xf numFmtId="4" fontId="15" fillId="0" borderId="1" applyAlignment="1" pivotButton="0" quotePrefix="0" xfId="0">
      <alignment vertical="center" wrapText="1"/>
    </xf>
    <xf numFmtId="4" fontId="24" fillId="0" borderId="4" applyAlignment="1" pivotButton="0" quotePrefix="0" xfId="0">
      <alignment vertical="center" wrapText="1"/>
    </xf>
    <xf numFmtId="4" fontId="24" fillId="0" borderId="1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9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0" fontId="25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8" fillId="0" borderId="4" applyAlignment="1" pivotButton="0" quotePrefix="0" xfId="0">
      <alignment horizontal="right" vertical="center" wrapText="1"/>
    </xf>
    <xf numFmtId="0" fontId="18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left" vertical="center"/>
    </xf>
    <xf numFmtId="4" fontId="15" fillId="0" borderId="2" applyAlignment="1" pivotButton="0" quotePrefix="0" xfId="0">
      <alignment horizontal="center" vertical="center" wrapText="1"/>
    </xf>
    <xf numFmtId="4" fontId="15" fillId="0" borderId="6" applyAlignment="1" pivotButton="0" quotePrefix="0" xfId="0">
      <alignment horizontal="center" vertical="center" wrapText="1"/>
    </xf>
    <xf numFmtId="4" fontId="24" fillId="0" borderId="2" applyAlignment="1" pivotButton="0" quotePrefix="0" xfId="0">
      <alignment horizontal="center" vertical="center" wrapText="1"/>
    </xf>
    <xf numFmtId="4" fontId="24" fillId="0" borderId="6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18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4" borderId="1" applyAlignment="1" pivotButton="0" quotePrefix="0" xfId="0">
      <alignment horizontal="left" vertical="center" wrapText="1"/>
    </xf>
    <xf numFmtId="0" fontId="1" fillId="4" borderId="1" applyAlignment="1" pivotButton="0" quotePrefix="0" xfId="0">
      <alignment horizontal="center" vertical="center" wrapText="1"/>
    </xf>
    <xf numFmtId="2" fontId="1" fillId="4" borderId="1" applyAlignment="1" pivotButton="0" quotePrefix="0" xfId="0">
      <alignment horizontal="center" vertical="center" wrapText="1"/>
    </xf>
    <xf numFmtId="2" fontId="1" fillId="4" borderId="1" applyAlignment="1" pivotButton="0" quotePrefix="0" xfId="0">
      <alignment horizontal="right" vertical="center" wrapText="1"/>
    </xf>
    <xf numFmtId="10" fontId="1" fillId="4" borderId="2" applyAlignment="1" pivotButton="0" quotePrefix="0" xfId="0">
      <alignment horizontal="right" vertical="center" wrapText="1"/>
    </xf>
    <xf numFmtId="0" fontId="2" fillId="4" borderId="1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left" vertical="center" wrapText="1"/>
    </xf>
    <xf numFmtId="0" fontId="2" fillId="0" borderId="10" applyAlignment="1" pivotButton="0" quotePrefix="0" xfId="0">
      <alignment horizontal="left" vertical="center" wrapText="1"/>
    </xf>
    <xf numFmtId="0" fontId="2" fillId="0" borderId="6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10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6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11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1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0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7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10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10" pivotButton="0" quotePrefix="0" xfId="0"/>
    <xf numFmtId="0" fontId="0" fillId="0" borderId="6" pivotButton="0" quotePrefix="0" xfId="0"/>
    <xf numFmtId="0" fontId="0" fillId="0" borderId="11" pivotButton="0" quotePrefix="0" xfId="0"/>
    <xf numFmtId="0" fontId="0" fillId="0" borderId="4" pivotButton="0" quotePrefix="0" xfId="0"/>
    <xf numFmtId="4" fontId="15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15" pivotButton="0" quotePrefix="0" xfId="0"/>
    <xf numFmtId="4" fontId="24" fillId="0" borderId="1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9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4">
    <outlinePr summaryBelow="1" summaryRight="1"/>
    <pageSetUpPr fitToPage="1"/>
  </sheetPr>
  <dimension ref="B3:E32"/>
  <sheetViews>
    <sheetView tabSelected="1" view="pageBreakPreview" topLeftCell="A19" zoomScale="60" zoomScaleNormal="70" workbookViewId="0">
      <selection activeCell="C27" sqref="C27"/>
    </sheetView>
  </sheetViews>
  <sheetFormatPr baseColWidth="8" defaultColWidth="9.109375" defaultRowHeight="15.6"/>
  <cols>
    <col width="9.109375" customWidth="1" style="212" min="1" max="2"/>
    <col width="51.6640625" customWidth="1" style="212" min="3" max="3"/>
    <col width="47" customWidth="1" style="212" min="4" max="4"/>
    <col width="37.44140625" customWidth="1" style="212" min="5" max="5"/>
    <col width="9.109375" customWidth="1" style="212" min="6" max="6"/>
  </cols>
  <sheetData>
    <row r="3">
      <c r="B3" s="235" t="inlineStr">
        <is>
          <t>Приложение № 1</t>
        </is>
      </c>
    </row>
    <row r="4">
      <c r="B4" s="236" t="inlineStr">
        <is>
          <t>Сравнительная таблица отбора объекта-представителя</t>
        </is>
      </c>
    </row>
    <row r="5" ht="84" customHeight="1" s="213">
      <c r="B5" s="238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13">
      <c r="B6" s="180" t="n"/>
      <c r="C6" s="180" t="n"/>
      <c r="D6" s="180" t="n"/>
    </row>
    <row r="7" ht="64.5" customHeight="1" s="213">
      <c r="B7" s="237" t="inlineStr">
        <is>
          <t>Наименование разрабатываемого показателя УНЦ — Строительно-монтажные работы ВЛ 0,4-750 кВ без опор и провода. Двухцепная, все типы опор за исключением многогранных 35 кВ.</t>
        </is>
      </c>
    </row>
    <row r="8" ht="31.5" customHeight="1" s="213">
      <c r="B8" s="237" t="inlineStr">
        <is>
          <t>Сопоставимый уровень цен: 1кв. 2018 г</t>
        </is>
      </c>
    </row>
    <row r="9" ht="15.75" customHeight="1" s="213">
      <c r="B9" s="237" t="inlineStr">
        <is>
          <t>Единица измерения  — 1 тн опор</t>
        </is>
      </c>
    </row>
    <row r="10">
      <c r="B10" s="237" t="n"/>
    </row>
    <row r="11">
      <c r="B11" s="244" t="inlineStr">
        <is>
          <t>№ п/п</t>
        </is>
      </c>
      <c r="C11" s="244" t="inlineStr">
        <is>
          <t>Параметр</t>
        </is>
      </c>
      <c r="D11" s="244" t="inlineStr">
        <is>
          <t xml:space="preserve">Объект-представитель </t>
        </is>
      </c>
      <c r="E11" s="163" t="n"/>
    </row>
    <row r="12" ht="96.75" customHeight="1" s="213">
      <c r="B12" s="244" t="n">
        <v>1</v>
      </c>
      <c r="C12" s="127" t="inlineStr">
        <is>
          <t>Наименование объекта-представителя</t>
        </is>
      </c>
      <c r="D12" s="192" t="inlineStr">
        <is>
          <t xml:space="preserve">ВЛ 35кВ УПН2-ДНС2 1,2 </t>
        </is>
      </c>
    </row>
    <row r="13">
      <c r="B13" s="244" t="n">
        <v>2</v>
      </c>
      <c r="C13" s="127" t="inlineStr">
        <is>
          <t>Наименование субъекта Российской Федерации</t>
        </is>
      </c>
      <c r="D13" s="192" t="inlineStr">
        <is>
          <t>Иркутская область</t>
        </is>
      </c>
    </row>
    <row r="14">
      <c r="B14" s="244" t="n">
        <v>3</v>
      </c>
      <c r="C14" s="127" t="inlineStr">
        <is>
          <t>Климатический район и подрайон</t>
        </is>
      </c>
      <c r="D14" s="81" t="inlineStr">
        <is>
          <t>IД</t>
        </is>
      </c>
    </row>
    <row r="15">
      <c r="B15" s="244" t="n">
        <v>4</v>
      </c>
      <c r="C15" s="127" t="inlineStr">
        <is>
          <t>Мощность объекта</t>
        </is>
      </c>
      <c r="D15" s="192" t="n">
        <v>664.4736</v>
      </c>
    </row>
    <row r="16" ht="116.25" customHeight="1" s="213">
      <c r="B16" s="244" t="n">
        <v>5</v>
      </c>
      <c r="C16" s="11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92" t="inlineStr">
        <is>
          <t xml:space="preserve">Сборные железобетонные фундаменты - 1199,5 м3
</t>
        </is>
      </c>
    </row>
    <row r="17" ht="79.5" customHeight="1" s="213">
      <c r="B17" s="244" t="n">
        <v>6</v>
      </c>
      <c r="C17" s="11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72">
        <f>SUM(D18:D21)</f>
        <v/>
      </c>
      <c r="E17" s="179" t="n"/>
    </row>
    <row r="18">
      <c r="B18" s="162" t="inlineStr">
        <is>
          <t>6.1</t>
        </is>
      </c>
      <c r="C18" s="127" t="inlineStr">
        <is>
          <t>строительно-монтажные работы</t>
        </is>
      </c>
      <c r="D18" s="172">
        <f>'Прил.2 Расч стоим'!F14</f>
        <v/>
      </c>
    </row>
    <row r="19" ht="15.75" customHeight="1" s="213">
      <c r="B19" s="162" t="inlineStr">
        <is>
          <t>6.2</t>
        </is>
      </c>
      <c r="C19" s="127" t="inlineStr">
        <is>
          <t>оборудование и инвентарь</t>
        </is>
      </c>
      <c r="D19" s="172" t="n"/>
    </row>
    <row r="20" ht="16.5" customHeight="1" s="213">
      <c r="B20" s="162" t="inlineStr">
        <is>
          <t>6.3</t>
        </is>
      </c>
      <c r="C20" s="127" t="inlineStr">
        <is>
          <t>пусконаладочные работы</t>
        </is>
      </c>
      <c r="D20" s="172" t="n"/>
    </row>
    <row r="21" ht="35.25" customHeight="1" s="213">
      <c r="B21" s="162" t="inlineStr">
        <is>
          <t>6.4</t>
        </is>
      </c>
      <c r="C21" s="161" t="inlineStr">
        <is>
          <t>прочие и лимитированные затраты</t>
        </is>
      </c>
      <c r="D21" s="172" t="n"/>
    </row>
    <row r="22">
      <c r="B22" s="244" t="n">
        <v>7</v>
      </c>
      <c r="C22" s="161" t="inlineStr">
        <is>
          <t>Сопоставимый уровень цен</t>
        </is>
      </c>
      <c r="D22" s="190" t="inlineStr">
        <is>
          <t>1кв. 2018 г</t>
        </is>
      </c>
      <c r="E22" s="159" t="n"/>
    </row>
    <row r="23" ht="78" customHeight="1" s="213">
      <c r="B23" s="244" t="n">
        <v>8</v>
      </c>
      <c r="C23" s="160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72">
        <f>D17</f>
        <v/>
      </c>
      <c r="E23" s="179" t="n"/>
    </row>
    <row r="24" ht="60.75" customHeight="1" s="213">
      <c r="B24" s="244" t="n">
        <v>9</v>
      </c>
      <c r="C24" s="116" t="inlineStr">
        <is>
          <t>Приведенная сметная стоимость на единицу мощности, тыс. руб. (строка 8/строку 4)</t>
        </is>
      </c>
      <c r="D24" s="172">
        <f>D23/D15</f>
        <v/>
      </c>
      <c r="E24" s="159" t="n"/>
    </row>
    <row r="25">
      <c r="B25" s="244" t="n">
        <v>10</v>
      </c>
      <c r="C25" s="127" t="inlineStr">
        <is>
          <t>Примечание</t>
        </is>
      </c>
      <c r="D25" s="244" t="n"/>
    </row>
    <row r="26">
      <c r="B26" s="158" t="n"/>
      <c r="C26" s="157" t="n"/>
      <c r="D26" s="157" t="n"/>
    </row>
    <row r="27" ht="37.5" customHeight="1" s="213">
      <c r="B27" s="156" t="n"/>
    </row>
    <row r="28">
      <c r="B28" s="212" t="inlineStr">
        <is>
          <t>Составил ______________________    Е. М. Добровольская</t>
        </is>
      </c>
    </row>
    <row r="29">
      <c r="B29" s="156" t="inlineStr">
        <is>
          <t xml:space="preserve">                         (подпись, инициалы, фамилия)</t>
        </is>
      </c>
    </row>
    <row r="31">
      <c r="B31" s="212" t="inlineStr">
        <is>
          <t>Проверил ______________________        А.В. Костянецкая</t>
        </is>
      </c>
    </row>
    <row r="32">
      <c r="B32" s="156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1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B3:K22"/>
  <sheetViews>
    <sheetView view="pageBreakPreview" zoomScale="70" zoomScaleNormal="70" workbookViewId="0">
      <selection activeCell="C17" sqref="C17"/>
    </sheetView>
  </sheetViews>
  <sheetFormatPr baseColWidth="8" defaultColWidth="9.109375" defaultRowHeight="15.6"/>
  <cols>
    <col width="5.5546875" customWidth="1" style="212" min="1" max="1"/>
    <col width="9.109375" customWidth="1" style="212" min="2" max="2"/>
    <col width="35.33203125" customWidth="1" style="212" min="3" max="3"/>
    <col width="13.88671875" customWidth="1" style="212" min="4" max="4"/>
    <col width="24.88671875" customWidth="1" style="212" min="5" max="5"/>
    <col width="15.5546875" customWidth="1" style="212" min="6" max="6"/>
    <col width="14.88671875" customWidth="1" style="212" min="7" max="7"/>
    <col width="16.6640625" customWidth="1" style="212" min="8" max="8"/>
    <col width="13" customWidth="1" style="212" min="9" max="10"/>
    <col width="18" customWidth="1" style="212" min="11" max="11"/>
    <col width="9.109375" customWidth="1" style="212" min="12" max="12"/>
  </cols>
  <sheetData>
    <row r="3">
      <c r="B3" s="235" t="inlineStr">
        <is>
          <t>Приложение № 2</t>
        </is>
      </c>
      <c r="K3" s="156" t="n"/>
    </row>
    <row r="4">
      <c r="B4" s="236" t="inlineStr">
        <is>
          <t>Расчет стоимости основных видов работ для выбора объекта-представителя</t>
        </is>
      </c>
    </row>
    <row r="5">
      <c r="B5" s="164" t="n"/>
      <c r="C5" s="164" t="n"/>
      <c r="D5" s="164" t="n"/>
      <c r="E5" s="164" t="n"/>
      <c r="F5" s="164" t="n"/>
      <c r="G5" s="164" t="n"/>
      <c r="H5" s="164" t="n"/>
      <c r="I5" s="164" t="n"/>
      <c r="J5" s="164" t="n"/>
      <c r="K5" s="164" t="n"/>
    </row>
    <row r="6" ht="29.25" customHeight="1" s="213">
      <c r="B6" s="246" t="inlineStr">
        <is>
          <t>Наименование разрабатываемого показателя УНЦ — Строительно-монтажные работы ВЛ 0,4-750 кВ без опор и провода. Двухцепная, все типы опор за исключением многогранных 35 кВ.</t>
        </is>
      </c>
      <c r="K6" s="156" t="n"/>
    </row>
    <row r="7" ht="15.75" customHeight="1" s="213">
      <c r="B7" s="247" t="inlineStr">
        <is>
          <t>Единица измерения  — 1 тн опор</t>
        </is>
      </c>
      <c r="K7" s="156" t="n"/>
    </row>
    <row r="8" ht="18.75" customHeight="1" s="213">
      <c r="B8" s="133" t="n"/>
    </row>
    <row r="9" ht="15.75" customHeight="1" s="213">
      <c r="B9" s="244" t="inlineStr">
        <is>
          <t>№ п/п</t>
        </is>
      </c>
      <c r="C9" s="244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44" t="inlineStr">
        <is>
          <t>Объект-представитель 1</t>
        </is>
      </c>
      <c r="E9" s="339" t="n"/>
      <c r="F9" s="339" t="n"/>
      <c r="G9" s="339" t="n"/>
      <c r="H9" s="339" t="n"/>
      <c r="I9" s="339" t="n"/>
      <c r="J9" s="340" t="n"/>
    </row>
    <row r="10" ht="15.75" customHeight="1" s="213">
      <c r="B10" s="341" t="n"/>
      <c r="C10" s="341" t="n"/>
      <c r="D10" s="244" t="inlineStr">
        <is>
          <t>Номер сметы</t>
        </is>
      </c>
      <c r="E10" s="244" t="inlineStr">
        <is>
          <t>Наименование сметы</t>
        </is>
      </c>
      <c r="F10" s="244" t="inlineStr">
        <is>
          <t>Сметная стоимость в уровне цен 1кв. 2018 г., тыс. руб.</t>
        </is>
      </c>
      <c r="G10" s="339" t="n"/>
      <c r="H10" s="339" t="n"/>
      <c r="I10" s="339" t="n"/>
      <c r="J10" s="340" t="n"/>
    </row>
    <row r="11" ht="31.5" customHeight="1" s="213">
      <c r="B11" s="342" t="n"/>
      <c r="C11" s="342" t="n"/>
      <c r="D11" s="342" t="n"/>
      <c r="E11" s="342" t="n"/>
      <c r="F11" s="245" t="inlineStr">
        <is>
          <t>Строительные работы</t>
        </is>
      </c>
      <c r="G11" s="245" t="inlineStr">
        <is>
          <t>Монтажные работы</t>
        </is>
      </c>
      <c r="H11" s="245" t="inlineStr">
        <is>
          <t>Оборудование</t>
        </is>
      </c>
      <c r="I11" s="245" t="inlineStr">
        <is>
          <t>Прочее</t>
        </is>
      </c>
      <c r="J11" s="245" t="inlineStr">
        <is>
          <t>Всего</t>
        </is>
      </c>
    </row>
    <row r="12" ht="15" customHeight="1" s="213">
      <c r="B12" s="224" t="n"/>
      <c r="C12" s="224" t="n"/>
      <c r="D12" s="224" t="n"/>
      <c r="E12" s="224" t="n"/>
      <c r="F12" s="343" t="n">
        <v>28934.4048411</v>
      </c>
      <c r="G12" s="340" t="n"/>
      <c r="H12" s="225" t="n"/>
      <c r="I12" s="225" t="n"/>
      <c r="J12" s="225">
        <f>F12</f>
        <v/>
      </c>
    </row>
    <row r="13" ht="15.75" customHeight="1" s="213">
      <c r="B13" s="242" t="inlineStr">
        <is>
          <t>Всего по объекту:</t>
        </is>
      </c>
      <c r="C13" s="344" t="n"/>
      <c r="D13" s="344" t="n"/>
      <c r="E13" s="345" t="n"/>
      <c r="F13" s="226" t="n"/>
      <c r="G13" s="226" t="n"/>
      <c r="H13" s="226" t="n"/>
      <c r="I13" s="226" t="n"/>
      <c r="J13" s="226" t="n"/>
    </row>
    <row r="14" ht="15.75" customHeight="1" s="213">
      <c r="B14" s="243" t="inlineStr">
        <is>
          <t>Всего по объекту в сопоставимом уровне цен 1кв. 2018 г:</t>
        </is>
      </c>
      <c r="C14" s="339" t="n"/>
      <c r="D14" s="339" t="n"/>
      <c r="E14" s="340" t="n"/>
      <c r="F14" s="346">
        <f>F12</f>
        <v/>
      </c>
      <c r="G14" s="340" t="n"/>
      <c r="H14" s="227" t="n"/>
      <c r="I14" s="227" t="n"/>
      <c r="J14" s="227">
        <f>F14</f>
        <v/>
      </c>
    </row>
    <row r="15" ht="15" customHeight="1" s="213"/>
    <row r="16" ht="15" customHeight="1" s="213"/>
    <row r="17" ht="15" customHeight="1" s="213"/>
    <row r="18" ht="15" customHeight="1" s="213">
      <c r="C18" s="219" t="inlineStr">
        <is>
          <t>Составил ______________________     Е. М. Добровольская</t>
        </is>
      </c>
      <c r="D18" s="220" t="n"/>
      <c r="E18" s="220" t="n"/>
    </row>
    <row r="19" ht="15" customHeight="1" s="213">
      <c r="C19" s="222" t="inlineStr">
        <is>
          <t xml:space="preserve">                         (подпись, инициалы, фамилия)</t>
        </is>
      </c>
      <c r="D19" s="220" t="n"/>
      <c r="E19" s="220" t="n"/>
    </row>
    <row r="20" ht="15" customHeight="1" s="213">
      <c r="C20" s="219" t="n"/>
      <c r="D20" s="220" t="n"/>
      <c r="E20" s="220" t="n"/>
    </row>
    <row r="21" ht="15" customHeight="1" s="213">
      <c r="C21" s="219" t="inlineStr">
        <is>
          <t>Проверил ______________________        А.В. Костянецкая</t>
        </is>
      </c>
      <c r="D21" s="220" t="n"/>
      <c r="E21" s="220" t="n"/>
    </row>
    <row r="22" ht="15" customHeight="1" s="213">
      <c r="C22" s="222" t="inlineStr">
        <is>
          <t xml:space="preserve">                        (подпись, инициалы, фамилия)</t>
        </is>
      </c>
      <c r="D22" s="220" t="n"/>
      <c r="E22" s="220" t="n"/>
    </row>
    <row r="23" ht="15" customHeight="1" s="213"/>
    <row r="24" ht="15" customHeight="1" s="213"/>
    <row r="25" ht="15" customHeight="1" s="213"/>
    <row r="26" ht="15" customHeight="1" s="213"/>
    <row r="27" ht="15" customHeight="1" s="213"/>
    <row r="28" ht="15" customHeight="1" s="213"/>
  </sheetData>
  <mergeCells count="14">
    <mergeCell ref="B7:J7"/>
    <mergeCell ref="F12:G12"/>
    <mergeCell ref="B3:J3"/>
    <mergeCell ref="D10:D11"/>
    <mergeCell ref="B4:K4"/>
    <mergeCell ref="D9:J9"/>
    <mergeCell ref="B13:E13"/>
    <mergeCell ref="F10:J10"/>
    <mergeCell ref="B9:B11"/>
    <mergeCell ref="C9:C11"/>
    <mergeCell ref="F14:G14"/>
    <mergeCell ref="E10:E11"/>
    <mergeCell ref="B6:J6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2:L39"/>
  <sheetViews>
    <sheetView view="pageBreakPreview" topLeftCell="A25" zoomScale="85" workbookViewId="0">
      <selection activeCell="C35" sqref="C35"/>
    </sheetView>
  </sheetViews>
  <sheetFormatPr baseColWidth="8" defaultColWidth="9.109375" defaultRowHeight="15.6"/>
  <cols>
    <col width="9.109375" customWidth="1" style="212" min="1" max="1"/>
    <col width="12.5546875" customWidth="1" style="212" min="2" max="2"/>
    <col width="22.44140625" customWidth="1" style="212" min="3" max="3"/>
    <col width="49.6640625" customWidth="1" style="212" min="4" max="4"/>
    <col width="10.109375" customWidth="1" style="212" min="5" max="5"/>
    <col width="20.6640625" customWidth="1" style="212" min="6" max="6"/>
    <col width="20" customWidth="1" style="212" min="7" max="7"/>
    <col width="17.33203125" customWidth="1" style="212" min="8" max="8"/>
    <col hidden="1" width="9.109375" customWidth="1" style="212" min="9" max="10"/>
    <col hidden="1" width="15" customWidth="1" style="212" min="11" max="11"/>
    <col hidden="1" width="9.109375" customWidth="1" style="212" min="12" max="12"/>
    <col width="9.109375" customWidth="1" style="212" min="13" max="13"/>
  </cols>
  <sheetData>
    <row r="2">
      <c r="A2" s="235" t="inlineStr">
        <is>
          <t xml:space="preserve">Приложение № 3 </t>
        </is>
      </c>
    </row>
    <row r="3">
      <c r="A3" s="236" t="inlineStr">
        <is>
          <t>Объектная ресурсная ведомость</t>
        </is>
      </c>
    </row>
    <row r="4" ht="18.75" customHeight="1" s="213">
      <c r="A4" s="187" t="n"/>
      <c r="B4" s="187" t="n"/>
      <c r="C4" s="256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37" t="n"/>
    </row>
    <row r="6" ht="30" customHeight="1" s="213">
      <c r="A6" s="246" t="inlineStr">
        <is>
          <t>Наименование разрабатываемого показателя УНЦ — Строительно-монтажные работы ВЛ 0,4-750 кВ без опор и провода. Двухцепная, все типы опор за исключением многогранных 35 кВ.</t>
        </is>
      </c>
    </row>
    <row r="7">
      <c r="A7" s="247" t="n"/>
      <c r="B7" s="247" t="n"/>
      <c r="C7" s="247" t="n"/>
      <c r="D7" s="247" t="n"/>
      <c r="E7" s="247" t="n"/>
      <c r="F7" s="247" t="n"/>
      <c r="G7" s="247" t="n"/>
      <c r="H7" s="247" t="n"/>
    </row>
    <row r="8" ht="38.25" customHeight="1" s="213">
      <c r="A8" s="244" t="inlineStr">
        <is>
          <t>п/п</t>
        </is>
      </c>
      <c r="B8" s="244" t="inlineStr">
        <is>
          <t>№ЛСР</t>
        </is>
      </c>
      <c r="C8" s="244" t="inlineStr">
        <is>
          <t>Код ресурса</t>
        </is>
      </c>
      <c r="D8" s="244" t="inlineStr">
        <is>
          <t>Наименование ресурса</t>
        </is>
      </c>
      <c r="E8" s="244" t="inlineStr">
        <is>
          <t>Ед. изм.</t>
        </is>
      </c>
      <c r="F8" s="244" t="inlineStr">
        <is>
          <t>Кол-во единиц по данным объекта-представителя</t>
        </is>
      </c>
      <c r="G8" s="244" t="inlineStr">
        <is>
          <t>Сметная стоимость в ценах на 01.01.2000 (руб.)</t>
        </is>
      </c>
      <c r="H8" s="340" t="n"/>
    </row>
    <row r="9" ht="40.5" customHeight="1" s="213">
      <c r="A9" s="342" t="n"/>
      <c r="B9" s="342" t="n"/>
      <c r="C9" s="342" t="n"/>
      <c r="D9" s="342" t="n"/>
      <c r="E9" s="342" t="n"/>
      <c r="F9" s="342" t="n"/>
      <c r="G9" s="244" t="inlineStr">
        <is>
          <t>на ед.изм.</t>
        </is>
      </c>
      <c r="H9" s="244" t="inlineStr">
        <is>
          <t>общая</t>
        </is>
      </c>
    </row>
    <row r="10">
      <c r="A10" s="245" t="n">
        <v>1</v>
      </c>
      <c r="B10" s="245" t="n"/>
      <c r="C10" s="245" t="n">
        <v>2</v>
      </c>
      <c r="D10" s="245" t="inlineStr">
        <is>
          <t>З</t>
        </is>
      </c>
      <c r="E10" s="245" t="n">
        <v>4</v>
      </c>
      <c r="F10" s="245" t="n">
        <v>5</v>
      </c>
      <c r="G10" s="245" t="n">
        <v>6</v>
      </c>
      <c r="H10" s="245" t="n">
        <v>7</v>
      </c>
    </row>
    <row r="11" customFormat="1" s="214">
      <c r="A11" s="253" t="inlineStr">
        <is>
          <t>Затраты труда рабочих</t>
        </is>
      </c>
      <c r="B11" s="339" t="n"/>
      <c r="C11" s="339" t="n"/>
      <c r="D11" s="339" t="n"/>
      <c r="E11" s="340" t="n"/>
      <c r="F11" s="185">
        <f>SUM(F12:F12)</f>
        <v/>
      </c>
      <c r="G11" s="10" t="n"/>
      <c r="H11" s="185">
        <f>SUM(H12:H12)</f>
        <v/>
      </c>
    </row>
    <row r="12">
      <c r="A12" s="181" t="n">
        <v>1</v>
      </c>
      <c r="B12" s="170" t="n"/>
      <c r="C12" s="181" t="inlineStr">
        <is>
          <t>1-4-1</t>
        </is>
      </c>
      <c r="D12" s="182" t="inlineStr">
        <is>
          <t>Затраты труда рабочих (ср 4,1)</t>
        </is>
      </c>
      <c r="E12" s="293" t="inlineStr">
        <is>
          <t>чел.час</t>
        </is>
      </c>
      <c r="F12" s="194" t="n">
        <v>4437.4105191257</v>
      </c>
      <c r="G12" s="184" t="n">
        <v>9.789999999999999</v>
      </c>
      <c r="H12" s="184">
        <f>ROUND(F12*G12,2)</f>
        <v/>
      </c>
      <c r="I12" s="212" t="n">
        <v>4.1</v>
      </c>
      <c r="J12" s="212">
        <f>I12*F12</f>
        <v/>
      </c>
    </row>
    <row r="13">
      <c r="A13" s="252" t="inlineStr">
        <is>
          <t>Затраты труда машинистов</t>
        </is>
      </c>
      <c r="B13" s="339" t="n"/>
      <c r="C13" s="339" t="n"/>
      <c r="D13" s="339" t="n"/>
      <c r="E13" s="340" t="n"/>
      <c r="F13" s="253" t="n"/>
      <c r="G13" s="168" t="n"/>
      <c r="H13" s="196">
        <f>H14</f>
        <v/>
      </c>
    </row>
    <row r="14">
      <c r="A14" s="293" t="n">
        <v>2</v>
      </c>
      <c r="B14" s="254" t="n"/>
      <c r="C14" s="181" t="n">
        <v>2</v>
      </c>
      <c r="D14" s="182" t="inlineStr">
        <is>
          <t>Затраты труда машинистов</t>
        </is>
      </c>
      <c r="E14" s="293" t="inlineStr">
        <is>
          <t>чел.-ч</t>
        </is>
      </c>
      <c r="F14" s="191" t="n">
        <v>5701</v>
      </c>
      <c r="G14" s="184" t="n">
        <v>19.5</v>
      </c>
      <c r="H14" s="197">
        <f>F14*G14</f>
        <v/>
      </c>
      <c r="J14" s="212">
        <f>SUM(J12:J12)</f>
        <v/>
      </c>
    </row>
    <row r="15" customFormat="1" s="214">
      <c r="A15" s="253" t="inlineStr">
        <is>
          <t>Машины и механизмы</t>
        </is>
      </c>
      <c r="B15" s="339" t="n"/>
      <c r="C15" s="339" t="n"/>
      <c r="D15" s="339" t="n"/>
      <c r="E15" s="340" t="n"/>
      <c r="F15" s="253" t="n"/>
      <c r="G15" s="168" t="n"/>
      <c r="H15" s="185">
        <f>SUM(H16:H28)</f>
        <v/>
      </c>
    </row>
    <row r="16" ht="25.5" customHeight="1" s="213">
      <c r="A16" s="293" t="n">
        <v>3</v>
      </c>
      <c r="B16" s="254" t="n"/>
      <c r="C16" s="181" t="inlineStr">
        <is>
          <t>91.15.02-029</t>
        </is>
      </c>
      <c r="D16" s="182" t="inlineStr">
        <is>
          <t>Тракторы на гусеничном ходу с лебедкой 132 кВт (180 л.с.)</t>
        </is>
      </c>
      <c r="E16" s="293" t="inlineStr">
        <is>
          <t>маш.час</t>
        </is>
      </c>
      <c r="F16" s="194" t="n">
        <v>504.4948336928</v>
      </c>
      <c r="G16" s="195" t="n">
        <v>147.43</v>
      </c>
      <c r="H16" s="184">
        <f>ROUND(F16*G16,2)</f>
        <v/>
      </c>
      <c r="I16" s="173">
        <f>H16/$H$15</f>
        <v/>
      </c>
      <c r="J16" s="188">
        <f>J14/F11</f>
        <v/>
      </c>
      <c r="L16" s="173">
        <f>H16/$H$15</f>
        <v/>
      </c>
    </row>
    <row r="17" ht="38.25" customHeight="1" s="213">
      <c r="A17" s="293" t="n">
        <v>4</v>
      </c>
      <c r="B17" s="254" t="n"/>
      <c r="C17" s="181" t="inlineStr">
        <is>
          <t>91.04.01-011</t>
        </is>
      </c>
      <c r="D17" s="182" t="inlineStr">
        <is>
          <t>Буровые установки (включая универсальные комплексы) с крутящим моментом 250-400 кНм, мощность 350-500 кВт</t>
        </is>
      </c>
      <c r="E17" s="293" t="inlineStr">
        <is>
          <t>маш.час</t>
        </is>
      </c>
      <c r="F17" s="194" t="n">
        <v>9.181110107830699</v>
      </c>
      <c r="G17" s="195" t="n">
        <v>6656.69</v>
      </c>
      <c r="H17" s="184">
        <f>ROUND(F17*G17,2)</f>
        <v/>
      </c>
      <c r="I17" s="173">
        <f>H17/$H$15</f>
        <v/>
      </c>
      <c r="J17" s="188" t="n"/>
      <c r="L17" s="173" t="n"/>
    </row>
    <row r="18" ht="25.5" customHeight="1" s="213">
      <c r="A18" s="293" t="n">
        <v>5</v>
      </c>
      <c r="B18" s="254" t="n"/>
      <c r="C18" s="181" t="inlineStr">
        <is>
          <t>91.13.03-111</t>
        </is>
      </c>
      <c r="D18" s="182" t="inlineStr">
        <is>
          <t>Спецавтомашины, грузоподъемность до 8 т, вездеходы</t>
        </is>
      </c>
      <c r="E18" s="293" t="inlineStr">
        <is>
          <t>маш.час</t>
        </is>
      </c>
      <c r="F18" s="194" t="n">
        <v>254.51691321592</v>
      </c>
      <c r="G18" s="195" t="n">
        <v>189.95</v>
      </c>
      <c r="H18" s="184">
        <f>ROUND(F18*G18,2)</f>
        <v/>
      </c>
      <c r="I18" s="173">
        <f>H18/$H$15</f>
        <v/>
      </c>
      <c r="J18" s="188" t="n"/>
      <c r="L18" s="173" t="n"/>
    </row>
    <row r="19">
      <c r="A19" s="293" t="n">
        <v>6</v>
      </c>
      <c r="B19" s="254" t="n"/>
      <c r="C19" s="181" t="inlineStr">
        <is>
          <t>91.06.06-014</t>
        </is>
      </c>
      <c r="D19" s="182" t="inlineStr">
        <is>
          <t>Автогидроподъемники высотой подъема: 28 м</t>
        </is>
      </c>
      <c r="E19" s="293" t="inlineStr">
        <is>
          <t>маш.час</t>
        </is>
      </c>
      <c r="F19" s="194" t="n">
        <v>172.97652624397</v>
      </c>
      <c r="G19" s="195" t="n">
        <v>243.49</v>
      </c>
      <c r="H19" s="184">
        <f>ROUND(F19*G19,2)</f>
        <v/>
      </c>
      <c r="I19" s="173">
        <f>H19/$H$15</f>
        <v/>
      </c>
      <c r="J19" s="188" t="n"/>
      <c r="L19" s="173" t="n"/>
    </row>
    <row r="20" ht="25.5" customHeight="1" s="213">
      <c r="A20" s="293" t="n">
        <v>7</v>
      </c>
      <c r="B20" s="254" t="n"/>
      <c r="C20" s="181" t="inlineStr">
        <is>
          <t>91.04.01-077</t>
        </is>
      </c>
      <c r="D20" s="182" t="inlineStr">
        <is>
          <t>Установки и агрегаты буровые на базе автомобилей глубина бурения: до 200 м, грузоподъемность до 4т</t>
        </is>
      </c>
      <c r="E20" s="293" t="inlineStr">
        <is>
          <t>маш.час</t>
        </is>
      </c>
      <c r="F20" s="194" t="n">
        <v>187.72153032853</v>
      </c>
      <c r="G20" s="195" t="n">
        <v>219.82</v>
      </c>
      <c r="H20" s="184">
        <f>ROUND(F20*G20,2)</f>
        <v/>
      </c>
      <c r="I20" s="173">
        <f>H20/$H$15</f>
        <v/>
      </c>
      <c r="J20" s="188" t="n"/>
      <c r="L20" s="173" t="n"/>
    </row>
    <row r="21" ht="38.25" customHeight="1" s="213">
      <c r="A21" s="293" t="n">
        <v>8</v>
      </c>
      <c r="B21" s="254" t="n"/>
      <c r="C21" s="181" t="inlineStr">
        <is>
          <t>ФССЦпг-04-01-01-004</t>
        </is>
      </c>
      <c r="D21" s="182" t="inlineStr">
        <is>
          <t>Перевозка грузов тракторами на гусеничном ходу с прицепами грузоподъемностью 2 т на расстояние: I класс груза 4 км</t>
        </is>
      </c>
      <c r="E21" s="293" t="inlineStr">
        <is>
          <t>1 т груза</t>
        </is>
      </c>
      <c r="F21" s="194" t="n">
        <v>724.0859027830001</v>
      </c>
      <c r="G21" s="195" t="n">
        <v>29.93</v>
      </c>
      <c r="H21" s="184">
        <f>ROUND(F21*G21,2)</f>
        <v/>
      </c>
      <c r="I21" s="173">
        <f>H21/$H$15</f>
        <v/>
      </c>
      <c r="J21" s="188" t="n"/>
      <c r="L21" s="173" t="n"/>
    </row>
    <row r="22" ht="25.5" customHeight="1" s="213">
      <c r="A22" s="293" t="n">
        <v>9</v>
      </c>
      <c r="B22" s="254" t="n"/>
      <c r="C22" s="181" t="inlineStr">
        <is>
          <t>91.05.14-024</t>
        </is>
      </c>
      <c r="D22" s="182" t="inlineStr">
        <is>
          <t>Краны на тракторе, мощность 121 кВт (165 л.с.), грузоподъемность 10 т (прицепные)</t>
        </is>
      </c>
      <c r="E22" s="293" t="inlineStr">
        <is>
          <t>маш.час</t>
        </is>
      </c>
      <c r="F22" s="194" t="n">
        <v>319.49172393183</v>
      </c>
      <c r="G22" s="195" t="n">
        <v>69.84</v>
      </c>
      <c r="H22" s="184">
        <f>ROUND(F22*G22,2)</f>
        <v/>
      </c>
      <c r="I22" s="173">
        <f>H22/$H$15</f>
        <v/>
      </c>
      <c r="J22" s="188" t="n"/>
      <c r="L22" s="173" t="n"/>
    </row>
    <row r="23" ht="25.5" customHeight="1" s="213">
      <c r="A23" s="293" t="n">
        <v>10</v>
      </c>
      <c r="B23" s="254" t="n"/>
      <c r="C23" s="181" t="inlineStr">
        <is>
          <t>91.05.05-016</t>
        </is>
      </c>
      <c r="D23" s="182" t="inlineStr">
        <is>
          <t>Краны на автомобильном ходу, грузоподъемность 25 т</t>
        </is>
      </c>
      <c r="E23" s="293" t="inlineStr">
        <is>
          <t>маш.час</t>
        </is>
      </c>
      <c r="F23" s="194" t="n">
        <v>35.783605376191</v>
      </c>
      <c r="G23" s="195" t="n">
        <v>476.43</v>
      </c>
      <c r="H23" s="184">
        <f>ROUND(F23*G23,2)</f>
        <v/>
      </c>
      <c r="I23" s="173">
        <f>H23/$H$15</f>
        <v/>
      </c>
      <c r="J23" s="188" t="n"/>
      <c r="L23" s="173" t="n"/>
    </row>
    <row r="24" ht="25.5" customHeight="1" s="213">
      <c r="A24" s="293" t="n">
        <v>11</v>
      </c>
      <c r="B24" s="254" t="n"/>
      <c r="C24" s="181" t="inlineStr">
        <is>
          <t>91.11.02-021</t>
        </is>
      </c>
      <c r="D24" s="182" t="inlineStr">
        <is>
          <t>Комплекс для монтажа проводов методом "под тяжением"</t>
        </is>
      </c>
      <c r="E24" s="293" t="inlineStr">
        <is>
          <t>маш.час</t>
        </is>
      </c>
      <c r="F24" s="194" t="n">
        <v>23.555501309649</v>
      </c>
      <c r="G24" s="195" t="n">
        <v>637.76</v>
      </c>
      <c r="H24" s="184">
        <f>ROUND(F24*G24,2)</f>
        <v/>
      </c>
      <c r="I24" s="173">
        <f>H24/$H$15</f>
        <v/>
      </c>
      <c r="J24" s="188" t="n"/>
      <c r="L24" s="173" t="n"/>
    </row>
    <row r="25" ht="38.25" customHeight="1" s="213">
      <c r="A25" s="293" t="n">
        <v>12</v>
      </c>
      <c r="B25" s="254" t="n"/>
      <c r="C25" s="181" t="inlineStr">
        <is>
          <t>ФССЦпг-03-21-01-081</t>
        </is>
      </c>
      <c r="D25" s="182" t="inlineStr">
        <is>
          <t>Перевозка грузов автомобилями-самосвалами грузоподъемностью 10 т работающих вне карьера на расстояние: I класс груза до 81 км</t>
        </is>
      </c>
      <c r="E25" s="293" t="inlineStr">
        <is>
          <t>1 т груза</t>
        </is>
      </c>
      <c r="F25" s="194" t="n">
        <v>373.13443762675</v>
      </c>
      <c r="G25" s="195" t="n">
        <v>39.36</v>
      </c>
      <c r="H25" s="184">
        <f>ROUND(F25*G25,2)</f>
        <v/>
      </c>
      <c r="I25" s="173">
        <f>H25/$H$15</f>
        <v/>
      </c>
      <c r="J25" s="188" t="n"/>
      <c r="L25" s="173" t="n"/>
    </row>
    <row r="26" ht="38.25" customHeight="1" s="213">
      <c r="A26" s="293" t="n">
        <v>13</v>
      </c>
      <c r="B26" s="254" t="n"/>
      <c r="C26" s="181" t="inlineStr">
        <is>
          <t>91.18.01-007</t>
        </is>
      </c>
      <c r="D26" s="182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E26" s="293" t="inlineStr">
        <is>
          <t>маш.час</t>
        </is>
      </c>
      <c r="F26" s="194" t="n">
        <v>140.56770515341</v>
      </c>
      <c r="G26" s="195" t="n">
        <v>90</v>
      </c>
      <c r="H26" s="184">
        <f>ROUND(F26*G26,2)</f>
        <v/>
      </c>
      <c r="I26" s="173">
        <f>H26/$H$15</f>
        <v/>
      </c>
      <c r="J26" s="188" t="n"/>
      <c r="L26" s="173" t="n"/>
    </row>
    <row r="27" ht="25.5" customHeight="1" s="213">
      <c r="A27" s="293" t="n">
        <v>14</v>
      </c>
      <c r="B27" s="254" t="n"/>
      <c r="C27" s="181" t="inlineStr">
        <is>
          <t>91.02.02-003</t>
        </is>
      </c>
      <c r="D27" s="182" t="inlineStr">
        <is>
          <t>Агрегаты копровые без дизель-молота на базе экскаватора: 1 м3</t>
        </is>
      </c>
      <c r="E27" s="293" t="inlineStr">
        <is>
          <t>маш.час</t>
        </is>
      </c>
      <c r="F27" s="194" t="n">
        <v>54.638256320805</v>
      </c>
      <c r="G27" s="195" t="n">
        <v>200.67</v>
      </c>
      <c r="H27" s="184">
        <f>ROUND(F27*G27,2)</f>
        <v/>
      </c>
      <c r="I27" s="173">
        <f>H27/$H$15</f>
        <v/>
      </c>
      <c r="J27" s="188" t="n"/>
      <c r="L27" s="173" t="n"/>
    </row>
    <row r="28" ht="25.5" customHeight="1" s="213">
      <c r="A28" s="293" t="n">
        <v>15</v>
      </c>
      <c r="B28" s="254" t="n"/>
      <c r="C28" s="181" t="inlineStr">
        <is>
          <t>91.05.05-015</t>
        </is>
      </c>
      <c r="D28" s="182" t="inlineStr">
        <is>
          <t>Краны на автомобильном ходу, грузоподъемность 16 т</t>
        </is>
      </c>
      <c r="E28" s="293" t="inlineStr">
        <is>
          <t>маш.час</t>
        </is>
      </c>
      <c r="F28" s="194" t="n">
        <v>90.5984832425</v>
      </c>
      <c r="G28" s="195" t="n">
        <v>115.4</v>
      </c>
      <c r="H28" s="184">
        <f>ROUND(F28*G28,2)</f>
        <v/>
      </c>
      <c r="I28" s="173">
        <f>H28/$H$15</f>
        <v/>
      </c>
      <c r="J28" s="188" t="n"/>
      <c r="L28" s="173" t="n"/>
    </row>
    <row r="29">
      <c r="A29" s="253" t="inlineStr">
        <is>
          <t>Материалы</t>
        </is>
      </c>
      <c r="B29" s="339" t="n"/>
      <c r="C29" s="339" t="n"/>
      <c r="D29" s="339" t="n"/>
      <c r="E29" s="340" t="n"/>
      <c r="F29" s="253" t="n"/>
      <c r="G29" s="168" t="n"/>
      <c r="H29" s="185">
        <f>SUM(H30:H32)</f>
        <v/>
      </c>
    </row>
    <row r="30">
      <c r="A30" s="186" t="n">
        <v>16</v>
      </c>
      <c r="B30" s="254" t="n"/>
      <c r="C30" s="181" t="inlineStr">
        <is>
          <t>Прайс из СД ОП</t>
        </is>
      </c>
      <c r="D30" s="182" t="inlineStr">
        <is>
          <t>Фундамент Ф2-А</t>
        </is>
      </c>
      <c r="E30" s="293" t="inlineStr">
        <is>
          <t>м3</t>
        </is>
      </c>
      <c r="F30" s="194" t="n">
        <v>1199.4773333333</v>
      </c>
      <c r="G30" s="184" t="n">
        <v>4701.21</v>
      </c>
      <c r="H30" s="184" t="n">
        <v>1436380.66</v>
      </c>
      <c r="I30" s="189">
        <f>H30/$H$29</f>
        <v/>
      </c>
    </row>
    <row r="31">
      <c r="A31" s="186" t="n">
        <v>17</v>
      </c>
      <c r="B31" s="254" t="n"/>
      <c r="C31" s="181" t="inlineStr">
        <is>
          <t>22.2.01.03-0003</t>
        </is>
      </c>
      <c r="D31" s="182" t="inlineStr">
        <is>
          <t>Изоляторы линейные подвесные стеклянные ПСД-70Е</t>
        </is>
      </c>
      <c r="E31" s="293" t="inlineStr">
        <is>
          <t>шт</t>
        </is>
      </c>
      <c r="F31" s="194" t="n">
        <v>4400</v>
      </c>
      <c r="G31" s="184" t="n">
        <v>169.25</v>
      </c>
      <c r="H31" s="184">
        <f>ROUND(F31*G31,2)</f>
        <v/>
      </c>
      <c r="I31" s="189">
        <f>H31/$H$29</f>
        <v/>
      </c>
    </row>
    <row r="32" ht="25.5" customHeight="1" s="213">
      <c r="A32" s="186" t="n">
        <v>18</v>
      </c>
      <c r="B32" s="254" t="n"/>
      <c r="C32" s="181" t="inlineStr">
        <is>
          <t>22.2.01.03-0001</t>
        </is>
      </c>
      <c r="D32" s="182" t="inlineStr">
        <is>
          <t>Изоляторы линейные подвесные стеклянные ПСВ-120Б</t>
        </is>
      </c>
      <c r="E32" s="293" t="inlineStr">
        <is>
          <t>шт</t>
        </is>
      </c>
      <c r="F32" s="194" t="n">
        <v>3085.8666666667</v>
      </c>
      <c r="G32" s="184" t="n">
        <v>202.55</v>
      </c>
      <c r="H32" s="184">
        <f>ROUND(F32*G32,2)</f>
        <v/>
      </c>
      <c r="I32" s="189">
        <f>H32/$H$29</f>
        <v/>
      </c>
    </row>
    <row r="35">
      <c r="B35" s="212" t="inlineStr">
        <is>
          <t>Составил ______________________     Е. М. Добровольская</t>
        </is>
      </c>
    </row>
    <row r="36">
      <c r="B36" s="156" t="inlineStr">
        <is>
          <t xml:space="preserve">                         (подпись, инициалы, фамилия)</t>
        </is>
      </c>
    </row>
    <row r="38">
      <c r="B38" s="212" t="inlineStr">
        <is>
          <t>Проверил ______________________        А.В. Костянецкая</t>
        </is>
      </c>
    </row>
    <row r="39">
      <c r="B39" s="156" t="inlineStr">
        <is>
          <t xml:space="preserve">                        (подпись, инициалы, фамилия)</t>
        </is>
      </c>
    </row>
  </sheetData>
  <mergeCells count="15">
    <mergeCell ref="A3:H3"/>
    <mergeCell ref="A29:E29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6:H6"/>
  </mergeCells>
  <pageMargins left="0.7086614173228347" right="0.7086614173228347" top="0.7480314960629921" bottom="0.7480314960629921" header="0.3149606299212598" footer="0.3149606299212598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L50"/>
  <sheetViews>
    <sheetView view="pageBreakPreview" topLeftCell="A31" workbookViewId="0">
      <selection activeCell="B42" sqref="B42"/>
    </sheetView>
  </sheetViews>
  <sheetFormatPr baseColWidth="8" defaultRowHeight="14.4"/>
  <cols>
    <col width="4.109375" customWidth="1" style="213" min="1" max="1"/>
    <col width="36.33203125" customWidth="1" style="213" min="2" max="2"/>
    <col width="18.88671875" customWidth="1" style="213" min="3" max="3"/>
    <col width="18.33203125" customWidth="1" style="213" min="4" max="4"/>
    <col width="18.88671875" customWidth="1" style="213" min="5" max="5"/>
    <col width="9.109375" customWidth="1" style="213" min="6" max="6"/>
    <col width="13.44140625" customWidth="1" style="213" min="7" max="7"/>
    <col width="9.109375" customWidth="1" style="213" min="8" max="11"/>
    <col width="13.5546875" customWidth="1" style="213" min="12" max="12"/>
    <col width="9.109375" customWidth="1" style="213" min="13" max="13"/>
  </cols>
  <sheetData>
    <row r="1">
      <c r="B1" s="219" t="n"/>
      <c r="C1" s="219" t="n"/>
      <c r="D1" s="219" t="n"/>
      <c r="E1" s="219" t="n"/>
    </row>
    <row r="2">
      <c r="B2" s="219" t="n"/>
      <c r="C2" s="219" t="n"/>
      <c r="D2" s="219" t="n"/>
      <c r="E2" s="288" t="inlineStr">
        <is>
          <t>Приложение № 4</t>
        </is>
      </c>
    </row>
    <row r="3">
      <c r="B3" s="219" t="n"/>
      <c r="C3" s="219" t="n"/>
      <c r="D3" s="219" t="n"/>
      <c r="E3" s="219" t="n"/>
    </row>
    <row r="4">
      <c r="B4" s="219" t="n"/>
      <c r="C4" s="219" t="n"/>
      <c r="D4" s="219" t="n"/>
      <c r="E4" s="219" t="n"/>
    </row>
    <row r="5">
      <c r="B5" s="228" t="inlineStr">
        <is>
          <t>Ресурсная модель</t>
        </is>
      </c>
    </row>
    <row r="6">
      <c r="B6" s="178" t="n"/>
      <c r="C6" s="219" t="n"/>
      <c r="D6" s="219" t="n"/>
      <c r="E6" s="219" t="n"/>
    </row>
    <row r="7" ht="25.5" customHeight="1" s="213">
      <c r="B7" s="241" t="inlineStr">
        <is>
          <t>Наименование разрабатываемого показателя УНЦ — Строительно-монтажные работы ВЛ 0,4-750 кВ без опор и провода. Двухцепная, все типы опор за исключением многогранных 35 кВ.</t>
        </is>
      </c>
    </row>
    <row r="8">
      <c r="B8" s="257" t="inlineStr">
        <is>
          <t>Единица измерения  — 1 тн опор</t>
        </is>
      </c>
    </row>
    <row r="9">
      <c r="B9" s="178" t="n"/>
      <c r="C9" s="219" t="n"/>
      <c r="D9" s="219" t="n"/>
      <c r="E9" s="219" t="n"/>
    </row>
    <row r="10" ht="51" customHeight="1" s="213">
      <c r="B10" s="261" t="inlineStr">
        <is>
          <t>Наименование</t>
        </is>
      </c>
      <c r="C10" s="261" t="inlineStr">
        <is>
          <t>Сметная стоимость в ценах на 01.01.2023
 (руб.)</t>
        </is>
      </c>
      <c r="D10" s="261" t="inlineStr">
        <is>
          <t>Удельный вес, 
(в СМР)</t>
        </is>
      </c>
      <c r="E10" s="261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175">
        <f>'Прил.5 Расчет СМР и ОБ'!J15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175">
        <f>'Прил.5 Расчет СМР и ОБ'!J33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175">
        <f>'Прил.5 Расчет СМР и ОБ'!J34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175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175">
        <f>'Прил.5 Расчет СМР и ОБ'!J17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175">
        <f>'Прил.5 Расчет СМР и ОБ'!J47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175">
        <f>'Прил.5 Расчет СМР и ОБ'!J48</f>
        <v/>
      </c>
      <c r="D17" s="27">
        <f>C17/$C$24</f>
        <v/>
      </c>
      <c r="E17" s="27">
        <f>C17/$C$40</f>
        <v/>
      </c>
      <c r="G17" s="177" t="n"/>
    </row>
    <row r="18">
      <c r="B18" s="25" t="inlineStr">
        <is>
          <t>МАТЕРИАЛЫ, ВСЕГО:</t>
        </is>
      </c>
      <c r="C18" s="175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175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175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ОБ'!D52</f>
        <v/>
      </c>
      <c r="D21" s="27" t="n"/>
      <c r="E21" s="25" t="n"/>
    </row>
    <row r="22">
      <c r="B22" s="25" t="inlineStr">
        <is>
          <t>Накладные расходы, руб.</t>
        </is>
      </c>
      <c r="C22" s="175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ОБ'!D51</f>
        <v/>
      </c>
      <c r="D23" s="27" t="n"/>
      <c r="E23" s="25" t="n"/>
    </row>
    <row r="24">
      <c r="B24" s="25" t="inlineStr">
        <is>
          <t>ВСЕГО СМР с НР и СП</t>
        </is>
      </c>
      <c r="C24" s="175">
        <f>C19+C20+C22</f>
        <v/>
      </c>
      <c r="D24" s="27">
        <f>C24/$C$24</f>
        <v/>
      </c>
      <c r="E24" s="27">
        <f>C24/$C$40</f>
        <v/>
      </c>
    </row>
    <row r="25" ht="25.5" customHeight="1" s="213">
      <c r="B25" s="25" t="inlineStr">
        <is>
          <t>ВСЕГО стоимость оборудования, в том числе</t>
        </is>
      </c>
      <c r="C25" s="175">
        <f>'Прил.5 Расчет СМР и ОБ'!J40</f>
        <v/>
      </c>
      <c r="D25" s="27" t="n"/>
      <c r="E25" s="27">
        <f>C25/$C$40</f>
        <v/>
      </c>
    </row>
    <row r="26" ht="25.5" customHeight="1" s="213">
      <c r="B26" s="25" t="inlineStr">
        <is>
          <t>стоимость оборудования технологического</t>
        </is>
      </c>
      <c r="C26" s="175">
        <f>'Прил.5 Расчет СМР и ОБ'!J41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  <c r="G27" s="176" t="n"/>
    </row>
    <row r="28" ht="33" customHeight="1" s="213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</row>
    <row r="29" ht="25.5" customHeight="1" s="213">
      <c r="B29" s="25" t="inlineStr">
        <is>
          <t>Временные здания и сооружения - 3,3%</t>
        </is>
      </c>
      <c r="C29" s="26">
        <f>ROUND(C24*3.3%,2)</f>
        <v/>
      </c>
      <c r="D29" s="25" t="n"/>
      <c r="E29" s="27">
        <f>C29/$C$40</f>
        <v/>
      </c>
    </row>
    <row r="30" ht="38.25" customHeight="1" s="213">
      <c r="B30" s="25" t="inlineStr">
        <is>
          <t>Дополнительные затраты при производстве строительно-монтажных работ в зимнее время - 1%</t>
        </is>
      </c>
      <c r="C30" s="26">
        <f>ROUND((C24+C29)*1%,2)</f>
        <v/>
      </c>
      <c r="D30" s="25" t="n"/>
      <c r="E30" s="27">
        <f>C30/$C$40</f>
        <v/>
      </c>
    </row>
    <row r="31">
      <c r="B31" s="25" t="inlineStr">
        <is>
          <t>Пусконаладочные работы</t>
        </is>
      </c>
      <c r="C31" s="26" t="n">
        <v>0</v>
      </c>
      <c r="D31" s="25" t="n"/>
      <c r="E31" s="27">
        <f>C31/$C$40</f>
        <v/>
      </c>
    </row>
    <row r="32" ht="25.5" customHeight="1" s="213">
      <c r="B32" s="25" t="inlineStr">
        <is>
          <t>Затраты по перевозке работников к месту работы и обратно</t>
        </is>
      </c>
      <c r="C32" s="26" t="n">
        <v>0</v>
      </c>
      <c r="D32" s="25" t="n"/>
      <c r="E32" s="27">
        <f>C32/$C$40</f>
        <v/>
      </c>
    </row>
    <row r="33" ht="25.5" customHeight="1" s="213">
      <c r="B33" s="25" t="inlineStr">
        <is>
          <t>Затраты, связанные с осуществлением работ вахтовым методом</t>
        </is>
      </c>
      <c r="C33" s="26">
        <f>ROUND(C27*0%,2)</f>
        <v/>
      </c>
      <c r="D33" s="25" t="n"/>
      <c r="E33" s="27">
        <f>C33/$C$40</f>
        <v/>
      </c>
    </row>
    <row r="34" ht="51" customHeight="1" s="213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 t="n">
        <v>0</v>
      </c>
      <c r="D34" s="25" t="n"/>
      <c r="E34" s="27">
        <f>C34/$C$40</f>
        <v/>
      </c>
    </row>
    <row r="35" ht="76.5" customHeight="1" s="213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>
        <f>ROUND(C27*0%,2)</f>
        <v/>
      </c>
      <c r="D35" s="25" t="n"/>
      <c r="E35" s="27">
        <f>C35/$C$40</f>
        <v/>
      </c>
    </row>
    <row r="36" ht="25.5" customHeight="1" s="213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27">
        <f>C36/$C$40</f>
        <v/>
      </c>
      <c r="L36" s="176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7">
        <f>C37/$C$40</f>
        <v/>
      </c>
      <c r="L37" s="176" t="n"/>
    </row>
    <row r="38" ht="38.25" customHeight="1" s="213">
      <c r="B38" s="25" t="inlineStr">
        <is>
          <t>ИТОГО (СМР+ОБОРУДОВАНИЕ+ПРОЧ. ЗАТР., УЧТЕННЫЕ ПОКАЗАТЕЛЕМ)</t>
        </is>
      </c>
      <c r="C38" s="175">
        <f>C27+C32+C33+C34+C35+C29+C31+C30+C36+C37</f>
        <v/>
      </c>
      <c r="D38" s="25" t="n"/>
      <c r="E38" s="27">
        <f>C38/$C$40</f>
        <v/>
      </c>
    </row>
    <row r="39" ht="13.5" customHeight="1" s="213">
      <c r="B39" s="25" t="inlineStr">
        <is>
          <t>Непредвиденные расходы</t>
        </is>
      </c>
      <c r="C39" s="175">
        <f>ROUND(C38*3%,2)</f>
        <v/>
      </c>
      <c r="D39" s="25" t="n"/>
      <c r="E39" s="27">
        <f>C39/$C$38</f>
        <v/>
      </c>
    </row>
    <row r="40">
      <c r="B40" s="25" t="inlineStr">
        <is>
          <t>ВСЕГО:</t>
        </is>
      </c>
      <c r="C40" s="175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175">
        <f>C40/'Прил.5 Расчет СМР и ОБ'!E55</f>
        <v/>
      </c>
      <c r="D41" s="25" t="n"/>
      <c r="E41" s="25" t="n"/>
    </row>
    <row r="42">
      <c r="B42" s="174" t="n"/>
      <c r="C42" s="219" t="n"/>
      <c r="D42" s="219" t="n"/>
      <c r="E42" s="219" t="n"/>
    </row>
    <row r="43">
      <c r="B43" s="174" t="inlineStr">
        <is>
          <t>Составил ____________________________  Е. М. Добровольская</t>
        </is>
      </c>
      <c r="C43" s="219" t="n"/>
      <c r="D43" s="219" t="n"/>
      <c r="E43" s="219" t="n"/>
    </row>
    <row r="44">
      <c r="B44" s="174" t="inlineStr">
        <is>
          <t xml:space="preserve">(должность, подпись, инициалы, фамилия) </t>
        </is>
      </c>
      <c r="C44" s="219" t="n"/>
      <c r="D44" s="219" t="n"/>
      <c r="E44" s="219" t="n"/>
    </row>
    <row r="45">
      <c r="B45" s="174" t="n"/>
      <c r="C45" s="219" t="n"/>
      <c r="D45" s="219" t="n"/>
      <c r="E45" s="219" t="n"/>
    </row>
    <row r="46">
      <c r="B46" s="174" t="inlineStr">
        <is>
          <t>Проверил ____________________________ А.В. Костянецкая</t>
        </is>
      </c>
      <c r="C46" s="219" t="n"/>
      <c r="D46" s="219" t="n"/>
      <c r="E46" s="219" t="n"/>
    </row>
    <row r="47">
      <c r="B47" s="257" t="inlineStr">
        <is>
          <t>(должность, подпись, инициалы, фамилия)</t>
        </is>
      </c>
      <c r="D47" s="219" t="n"/>
      <c r="E47" s="219" t="n"/>
    </row>
    <row r="49">
      <c r="B49" s="219" t="n"/>
      <c r="C49" s="219" t="n"/>
      <c r="D49" s="219" t="n"/>
      <c r="E49" s="219" t="n"/>
    </row>
    <row r="50">
      <c r="B50" s="219" t="n"/>
      <c r="C50" s="219" t="n"/>
      <c r="D50" s="219" t="n"/>
      <c r="E50" s="219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4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61"/>
  <sheetViews>
    <sheetView view="pageBreakPreview" topLeftCell="A37" zoomScale="85" workbookViewId="0">
      <selection activeCell="B56" sqref="B56"/>
    </sheetView>
  </sheetViews>
  <sheetFormatPr baseColWidth="8" defaultColWidth="9.109375" defaultRowHeight="14.4"/>
  <cols>
    <col width="5.6640625" customWidth="1" style="220" min="1" max="1"/>
    <col width="22.5546875" customWidth="1" style="220" min="2" max="2"/>
    <col width="39.109375" customWidth="1" style="220" min="3" max="3"/>
    <col width="10.6640625" customWidth="1" style="220" min="4" max="4"/>
    <col width="12.6640625" customWidth="1" style="220" min="5" max="5"/>
    <col width="14.5546875" customWidth="1" style="220" min="6" max="6"/>
    <col width="14" customWidth="1" style="220" min="7" max="7"/>
    <col width="12.6640625" customWidth="1" style="220" min="8" max="8"/>
    <col width="13.88671875" customWidth="1" style="220" min="9" max="9"/>
    <col width="17.5546875" customWidth="1" style="220" min="10" max="10"/>
    <col width="10.88671875" customWidth="1" style="220" min="11" max="11"/>
    <col width="13.88671875" customWidth="1" style="220" min="12" max="12"/>
  </cols>
  <sheetData>
    <row r="1">
      <c r="M1" s="220" t="n"/>
      <c r="N1" s="220" t="n"/>
    </row>
    <row r="2" ht="15.75" customHeight="1" s="213">
      <c r="H2" s="258" t="inlineStr">
        <is>
          <t>Приложение №5</t>
        </is>
      </c>
      <c r="M2" s="220" t="n"/>
      <c r="N2" s="220" t="n"/>
    </row>
    <row r="3">
      <c r="M3" s="220" t="n"/>
      <c r="N3" s="220" t="n"/>
    </row>
    <row r="4" ht="12.75" customFormat="1" customHeight="1" s="219">
      <c r="A4" s="228" t="inlineStr">
        <is>
          <t>Расчет стоимости СМР и оборудования</t>
        </is>
      </c>
    </row>
    <row r="5" ht="12.75" customFormat="1" customHeight="1" s="219">
      <c r="A5" s="228" t="n"/>
      <c r="B5" s="228" t="n"/>
      <c r="C5" s="296" t="n"/>
      <c r="D5" s="228" t="n"/>
      <c r="E5" s="228" t="n"/>
      <c r="F5" s="228" t="n"/>
      <c r="G5" s="228" t="n"/>
      <c r="H5" s="228" t="n"/>
      <c r="I5" s="228" t="n"/>
      <c r="J5" s="228" t="n"/>
    </row>
    <row r="6" ht="27" customFormat="1" customHeight="1" s="219">
      <c r="A6" s="193" t="inlineStr">
        <is>
          <t>Наименование разрабатываемого показателя УНЦ</t>
        </is>
      </c>
      <c r="B6" s="150" t="n"/>
      <c r="C6" s="150" t="n"/>
      <c r="D6" s="231" t="inlineStr">
        <is>
          <t>Строительно-монтажные работы ВЛ 0,4-750 кВ без опор и провода. Двухцепная, все типы опор за исключением многогранных 35 кВ.</t>
        </is>
      </c>
    </row>
    <row r="7" ht="12.75" customFormat="1" customHeight="1" s="219">
      <c r="A7" s="231" t="inlineStr">
        <is>
          <t>Единица измерения  — 1 тн опор</t>
        </is>
      </c>
      <c r="I7" s="241" t="n"/>
      <c r="J7" s="241" t="n"/>
    </row>
    <row r="8" ht="13.5" customFormat="1" customHeight="1" s="219">
      <c r="A8" s="231" t="n"/>
    </row>
    <row r="9" ht="13.2" customFormat="1" customHeight="1" s="219"/>
    <row r="10" ht="27" customHeight="1" s="213">
      <c r="A10" s="261" t="inlineStr">
        <is>
          <t>№ пп.</t>
        </is>
      </c>
      <c r="B10" s="261" t="inlineStr">
        <is>
          <t>Код ресурса</t>
        </is>
      </c>
      <c r="C10" s="261" t="inlineStr">
        <is>
          <t>Наименование</t>
        </is>
      </c>
      <c r="D10" s="261" t="inlineStr">
        <is>
          <t>Ед. изм.</t>
        </is>
      </c>
      <c r="E10" s="261" t="inlineStr">
        <is>
          <t>Кол-во единиц по проектным данным</t>
        </is>
      </c>
      <c r="F10" s="261" t="inlineStr">
        <is>
          <t>Сметная стоимость в ценах на 01.01.2000 (руб.)</t>
        </is>
      </c>
      <c r="G10" s="340" t="n"/>
      <c r="H10" s="261" t="inlineStr">
        <is>
          <t>Удельный вес, %</t>
        </is>
      </c>
      <c r="I10" s="261" t="inlineStr">
        <is>
          <t>Сметная стоимость в ценах на 01.01.2023 (руб.)</t>
        </is>
      </c>
      <c r="J10" s="340" t="n"/>
      <c r="M10" s="220" t="n"/>
      <c r="N10" s="220" t="n"/>
    </row>
    <row r="11" ht="28.5" customHeight="1" s="213">
      <c r="A11" s="342" t="n"/>
      <c r="B11" s="342" t="n"/>
      <c r="C11" s="342" t="n"/>
      <c r="D11" s="342" t="n"/>
      <c r="E11" s="342" t="n"/>
      <c r="F11" s="261" t="inlineStr">
        <is>
          <t>на ед. изм.</t>
        </is>
      </c>
      <c r="G11" s="261" t="inlineStr">
        <is>
          <t>общая</t>
        </is>
      </c>
      <c r="H11" s="342" t="n"/>
      <c r="I11" s="261" t="inlineStr">
        <is>
          <t>на ед. изм.</t>
        </is>
      </c>
      <c r="J11" s="261" t="inlineStr">
        <is>
          <t>общая</t>
        </is>
      </c>
      <c r="M11" s="220" t="n"/>
      <c r="N11" s="220" t="n"/>
    </row>
    <row r="12">
      <c r="A12" s="261" t="n">
        <v>1</v>
      </c>
      <c r="B12" s="261" t="n">
        <v>2</v>
      </c>
      <c r="C12" s="261" t="n">
        <v>3</v>
      </c>
      <c r="D12" s="261" t="n">
        <v>4</v>
      </c>
      <c r="E12" s="261" t="n">
        <v>5</v>
      </c>
      <c r="F12" s="261" t="n">
        <v>6</v>
      </c>
      <c r="G12" s="261" t="n">
        <v>7</v>
      </c>
      <c r="H12" s="261" t="n">
        <v>8</v>
      </c>
      <c r="I12" s="262" t="n">
        <v>9</v>
      </c>
      <c r="J12" s="262" t="n">
        <v>10</v>
      </c>
      <c r="M12" s="220" t="n"/>
      <c r="N12" s="220" t="n"/>
    </row>
    <row r="13">
      <c r="A13" s="261" t="n"/>
      <c r="B13" s="252" t="inlineStr">
        <is>
          <t>Затраты труда рабочих-строителей</t>
        </is>
      </c>
      <c r="C13" s="339" t="n"/>
      <c r="D13" s="339" t="n"/>
      <c r="E13" s="339" t="n"/>
      <c r="F13" s="339" t="n"/>
      <c r="G13" s="339" t="n"/>
      <c r="H13" s="340" t="n"/>
      <c r="I13" s="139" t="n"/>
      <c r="J13" s="139" t="n"/>
    </row>
    <row r="14" ht="25.5" customHeight="1" s="213">
      <c r="A14" s="261" t="n">
        <v>1</v>
      </c>
      <c r="B14" s="199" t="inlineStr">
        <is>
          <t>1-4-1</t>
        </is>
      </c>
      <c r="C14" s="272" t="inlineStr">
        <is>
          <t>Затраты труда рабочих-строителей среднего разряда (4,1)</t>
        </is>
      </c>
      <c r="D14" s="273" t="inlineStr">
        <is>
          <t>чел.-ч.</t>
        </is>
      </c>
      <c r="E14" s="202" t="n">
        <v>4437.4105191257</v>
      </c>
      <c r="F14" s="211" t="n">
        <v>9.76</v>
      </c>
      <c r="G14" s="211">
        <f>ROUND(E14*F14,2)</f>
        <v/>
      </c>
      <c r="H14" s="205">
        <f>G14/G15</f>
        <v/>
      </c>
      <c r="I14" s="211">
        <f>ФОТр.тек.!E13</f>
        <v/>
      </c>
      <c r="J14" s="211">
        <f>ROUND(I14*E14,2)</f>
        <v/>
      </c>
    </row>
    <row r="15" ht="25.5" customFormat="1" customHeight="1" s="220">
      <c r="A15" s="261" t="n"/>
      <c r="B15" s="273" t="n"/>
      <c r="C15" s="277" t="inlineStr">
        <is>
          <t>Итого по разделу "Затраты труда рабочих-строителей"</t>
        </is>
      </c>
      <c r="D15" s="273" t="inlineStr">
        <is>
          <t>чел.-ч.</t>
        </is>
      </c>
      <c r="E15" s="202">
        <f>SUM(E14:E14)</f>
        <v/>
      </c>
      <c r="F15" s="211" t="n"/>
      <c r="G15" s="211">
        <f>SUM(G14:G14)</f>
        <v/>
      </c>
      <c r="H15" s="276" t="n">
        <v>1</v>
      </c>
      <c r="I15" s="208" t="n"/>
      <c r="J15" s="211">
        <f>SUM(J14:J14)</f>
        <v/>
      </c>
    </row>
    <row r="16" ht="14.25" customFormat="1" customHeight="1" s="220">
      <c r="A16" s="261" t="n"/>
      <c r="B16" s="272" t="inlineStr">
        <is>
          <t>Затраты труда машинистов</t>
        </is>
      </c>
      <c r="C16" s="339" t="n"/>
      <c r="D16" s="339" t="n"/>
      <c r="E16" s="339" t="n"/>
      <c r="F16" s="339" t="n"/>
      <c r="G16" s="339" t="n"/>
      <c r="H16" s="340" t="n"/>
      <c r="I16" s="208" t="n"/>
      <c r="J16" s="208" t="n"/>
    </row>
    <row r="17" ht="14.25" customFormat="1" customHeight="1" s="220">
      <c r="A17" s="261" t="n">
        <v>2</v>
      </c>
      <c r="B17" s="273" t="n">
        <v>2</v>
      </c>
      <c r="C17" s="272" t="inlineStr">
        <is>
          <t>Затраты труда машинистов</t>
        </is>
      </c>
      <c r="D17" s="273" t="inlineStr">
        <is>
          <t>чел.-ч.</t>
        </is>
      </c>
      <c r="E17" s="202" t="n">
        <v>5701</v>
      </c>
      <c r="F17" s="211" t="n">
        <v>19.5</v>
      </c>
      <c r="G17" s="211">
        <f>ROUND(E17*F17,2)</f>
        <v/>
      </c>
      <c r="H17" s="276" t="n">
        <v>1</v>
      </c>
      <c r="I17" s="211">
        <f>ROUND(F17*'Прил. 10'!D11,2)</f>
        <v/>
      </c>
      <c r="J17" s="211">
        <f>ROUND(I17*E17,2)</f>
        <v/>
      </c>
    </row>
    <row r="18" ht="14.25" customFormat="1" customHeight="1" s="220">
      <c r="A18" s="261" t="n"/>
      <c r="B18" s="277" t="inlineStr">
        <is>
          <t>Машины и механизмы</t>
        </is>
      </c>
      <c r="C18" s="339" t="n"/>
      <c r="D18" s="339" t="n"/>
      <c r="E18" s="339" t="n"/>
      <c r="F18" s="339" t="n"/>
      <c r="G18" s="339" t="n"/>
      <c r="H18" s="340" t="n"/>
      <c r="I18" s="208" t="n"/>
      <c r="J18" s="208" t="n"/>
    </row>
    <row r="19" ht="14.25" customFormat="1" customHeight="1" s="220">
      <c r="A19" s="261" t="n"/>
      <c r="B19" s="272" t="inlineStr">
        <is>
          <t>Основные машины и механизмы</t>
        </is>
      </c>
      <c r="C19" s="339" t="n"/>
      <c r="D19" s="339" t="n"/>
      <c r="E19" s="339" t="n"/>
      <c r="F19" s="339" t="n"/>
      <c r="G19" s="339" t="n"/>
      <c r="H19" s="340" t="n"/>
      <c r="I19" s="208" t="n"/>
      <c r="J19" s="208" t="n"/>
    </row>
    <row r="20" ht="25.5" customFormat="1" customHeight="1" s="220">
      <c r="A20" s="261" t="n">
        <v>3</v>
      </c>
      <c r="B20" s="199" t="inlineStr">
        <is>
          <t>91.15.02-029</t>
        </is>
      </c>
      <c r="C20" s="272" t="inlineStr">
        <is>
          <t>Тракторы на гусеничном ходу с лебедкой 132 кВт (180 л.с.)</t>
        </is>
      </c>
      <c r="D20" s="273" t="inlineStr">
        <is>
          <t>маш.час</t>
        </is>
      </c>
      <c r="E20" s="202" t="n">
        <v>504.4948336928</v>
      </c>
      <c r="F20" s="275" t="n">
        <v>147.43</v>
      </c>
      <c r="G20" s="211">
        <f>ROUND(E20*F20,2)</f>
        <v/>
      </c>
      <c r="H20" s="205">
        <f>G20/$G$35</f>
        <v/>
      </c>
      <c r="I20" s="211">
        <f>ROUND(F20*'Прил. 10'!$D$12,2)</f>
        <v/>
      </c>
      <c r="J20" s="211">
        <f>ROUND(I20*E20,2)</f>
        <v/>
      </c>
    </row>
    <row r="21" ht="51" customFormat="1" customHeight="1" s="220">
      <c r="A21" s="261" t="n">
        <v>4</v>
      </c>
      <c r="B21" s="149" t="inlineStr">
        <is>
          <t>91.04.01-011</t>
        </is>
      </c>
      <c r="C21" s="268" t="inlineStr">
        <is>
          <t>Буровые установки (включая универсальные комплексы) с крутящим моментом 250-400 кНм, мощность 350-500 кВт</t>
        </is>
      </c>
      <c r="D21" s="261" t="inlineStr">
        <is>
          <t>маш.час</t>
        </is>
      </c>
      <c r="E21" s="140" t="n">
        <v>9.181110107830699</v>
      </c>
      <c r="F21" s="270" t="n">
        <v>6656.69</v>
      </c>
      <c r="G21" s="32">
        <f>ROUND(E21*F21,2)</f>
        <v/>
      </c>
      <c r="H21" s="142">
        <f>G21/$G$35</f>
        <v/>
      </c>
      <c r="I21" s="32">
        <f>ROUND(F21*'Прил. 10'!$D$12,2)</f>
        <v/>
      </c>
      <c r="J21" s="32">
        <f>ROUND(I21*E21,2)</f>
        <v/>
      </c>
    </row>
    <row r="22" ht="25.5" customFormat="1" customHeight="1" s="220">
      <c r="A22" s="261" t="n">
        <v>5</v>
      </c>
      <c r="B22" s="149" t="inlineStr">
        <is>
          <t>91.13.03-111</t>
        </is>
      </c>
      <c r="C22" s="268" t="inlineStr">
        <is>
          <t>Спецавтомашины, грузоподъемность до 8 т, вездеходы</t>
        </is>
      </c>
      <c r="D22" s="261" t="inlineStr">
        <is>
          <t>маш.час</t>
        </is>
      </c>
      <c r="E22" s="140" t="n">
        <v>254.51691321592</v>
      </c>
      <c r="F22" s="270" t="n">
        <v>189.95</v>
      </c>
      <c r="G22" s="32">
        <f>ROUND(E22*F22,2)</f>
        <v/>
      </c>
      <c r="H22" s="142">
        <f>G22/$G$35</f>
        <v/>
      </c>
      <c r="I22" s="32">
        <f>ROUND(F22*'Прил. 10'!$D$12,2)</f>
        <v/>
      </c>
      <c r="J22" s="32">
        <f>ROUND(I22*E22,2)</f>
        <v/>
      </c>
    </row>
    <row r="23" ht="25.5" customFormat="1" customHeight="1" s="220">
      <c r="A23" s="261" t="n">
        <v>6</v>
      </c>
      <c r="B23" s="149" t="inlineStr">
        <is>
          <t>91.06.06-014</t>
        </is>
      </c>
      <c r="C23" s="268" t="inlineStr">
        <is>
          <t>Автогидроподъемники высотой подъема: 28 м</t>
        </is>
      </c>
      <c r="D23" s="261" t="inlineStr">
        <is>
          <t>маш.час</t>
        </is>
      </c>
      <c r="E23" s="140" t="n">
        <v>172.97652624397</v>
      </c>
      <c r="F23" s="270" t="n">
        <v>243.49</v>
      </c>
      <c r="G23" s="32">
        <f>ROUND(E23*F23,2)</f>
        <v/>
      </c>
      <c r="H23" s="142">
        <f>G23/$G$35</f>
        <v/>
      </c>
      <c r="I23" s="32">
        <f>ROUND(F23*'Прил. 10'!$D$12,2)</f>
        <v/>
      </c>
      <c r="J23" s="32">
        <f>ROUND(I23*E23,2)</f>
        <v/>
      </c>
    </row>
    <row r="24" ht="38.25" customFormat="1" customHeight="1" s="220">
      <c r="A24" s="261" t="n">
        <v>7</v>
      </c>
      <c r="B24" s="149" t="inlineStr">
        <is>
          <t>91.04.01-077</t>
        </is>
      </c>
      <c r="C24" s="268" t="inlineStr">
        <is>
          <t>Установки и агрегаты буровые на базе автомобилей глубина бурения: до 200 м, грузоподъемность до 4т</t>
        </is>
      </c>
      <c r="D24" s="261" t="inlineStr">
        <is>
          <t>маш.час</t>
        </is>
      </c>
      <c r="E24" s="140" t="n">
        <v>187.72153032853</v>
      </c>
      <c r="F24" s="270" t="n">
        <v>219.82</v>
      </c>
      <c r="G24" s="32">
        <f>ROUND(E24*F24,2)</f>
        <v/>
      </c>
      <c r="H24" s="142">
        <f>G24/$G$35</f>
        <v/>
      </c>
      <c r="I24" s="32">
        <f>ROUND(F24*'Прил. 10'!$D$12,2)</f>
        <v/>
      </c>
      <c r="J24" s="32">
        <f>ROUND(I24*E24,2)</f>
        <v/>
      </c>
    </row>
    <row r="25" ht="51" customFormat="1" customHeight="1" s="220">
      <c r="A25" s="261" t="n">
        <v>8</v>
      </c>
      <c r="B25" s="149" t="inlineStr">
        <is>
          <t>ФССЦпг-04-01-01-004</t>
        </is>
      </c>
      <c r="C25" s="268" t="inlineStr">
        <is>
          <t>Перевозка грузов тракторами на гусеничном ходу с прицепами грузоподъемностью 2 т на расстояние: I класс груза 4 км</t>
        </is>
      </c>
      <c r="D25" s="261" t="inlineStr">
        <is>
          <t>1 т груза</t>
        </is>
      </c>
      <c r="E25" s="140" t="n">
        <v>724.0859027830001</v>
      </c>
      <c r="F25" s="270" t="n">
        <v>29.93</v>
      </c>
      <c r="G25" s="32">
        <f>ROUND(E25*F25,2)</f>
        <v/>
      </c>
      <c r="H25" s="142">
        <f>G25/$G$35</f>
        <v/>
      </c>
      <c r="I25" s="32">
        <f>ROUND(F25*'Прил. 10'!$D$12,2)</f>
        <v/>
      </c>
      <c r="J25" s="32">
        <f>ROUND(I25*E25,2)</f>
        <v/>
      </c>
    </row>
    <row r="26" ht="38.25" customFormat="1" customHeight="1" s="220">
      <c r="A26" s="261" t="n">
        <v>9</v>
      </c>
      <c r="B26" s="149" t="inlineStr">
        <is>
          <t>91.05.14-024</t>
        </is>
      </c>
      <c r="C26" s="268" t="inlineStr">
        <is>
          <t>Краны на тракторе, мощность 121 кВт (165 л.с.), грузоподъемность 10 т (прицепные)</t>
        </is>
      </c>
      <c r="D26" s="261" t="inlineStr">
        <is>
          <t>маш.час</t>
        </is>
      </c>
      <c r="E26" s="140" t="n">
        <v>319.49172393183</v>
      </c>
      <c r="F26" s="270" t="n">
        <v>69.84</v>
      </c>
      <c r="G26" s="32">
        <f>ROUND(E26*F26,2)</f>
        <v/>
      </c>
      <c r="H26" s="142">
        <f>G26/$G$35</f>
        <v/>
      </c>
      <c r="I26" s="32">
        <f>ROUND(F26*'Прил. 10'!$D$12,2)</f>
        <v/>
      </c>
      <c r="J26" s="32">
        <f>ROUND(I26*E26,2)</f>
        <v/>
      </c>
    </row>
    <row r="27" ht="25.5" customFormat="1" customHeight="1" s="220">
      <c r="A27" s="261" t="n">
        <v>10</v>
      </c>
      <c r="B27" s="149" t="inlineStr">
        <is>
          <t>91.05.05-016</t>
        </is>
      </c>
      <c r="C27" s="268" t="inlineStr">
        <is>
          <t>Краны на автомобильном ходу, грузоподъемность 25 т</t>
        </is>
      </c>
      <c r="D27" s="261" t="inlineStr">
        <is>
          <t>маш.час</t>
        </is>
      </c>
      <c r="E27" s="140" t="n">
        <v>35.783605376191</v>
      </c>
      <c r="F27" s="270" t="n">
        <v>476.43</v>
      </c>
      <c r="G27" s="32">
        <f>ROUND(E27*F27,2)</f>
        <v/>
      </c>
      <c r="H27" s="142">
        <f>G27/$G$35</f>
        <v/>
      </c>
      <c r="I27" s="32">
        <f>ROUND(F27*'Прил. 10'!$D$12,2)</f>
        <v/>
      </c>
      <c r="J27" s="32">
        <f>ROUND(I27*E27,2)</f>
        <v/>
      </c>
    </row>
    <row r="28" ht="25.5" customFormat="1" customHeight="1" s="220">
      <c r="A28" s="261" t="n">
        <v>11</v>
      </c>
      <c r="B28" s="149" t="inlineStr">
        <is>
          <t>91.11.02-021</t>
        </is>
      </c>
      <c r="C28" s="268" t="inlineStr">
        <is>
          <t>Комплекс для монтажа проводов методом "под тяжением"</t>
        </is>
      </c>
      <c r="D28" s="261" t="inlineStr">
        <is>
          <t>маш.час</t>
        </is>
      </c>
      <c r="E28" s="140" t="n">
        <v>23.555501309649</v>
      </c>
      <c r="F28" s="270" t="n">
        <v>637.76</v>
      </c>
      <c r="G28" s="32">
        <f>ROUND(E28*F28,2)</f>
        <v/>
      </c>
      <c r="H28" s="142">
        <f>G28/$G$35</f>
        <v/>
      </c>
      <c r="I28" s="32">
        <f>ROUND(F28*'Прил. 10'!$D$12,2)</f>
        <v/>
      </c>
      <c r="J28" s="32">
        <f>ROUND(I28*E28,2)</f>
        <v/>
      </c>
    </row>
    <row r="29" ht="51" customFormat="1" customHeight="1" s="220">
      <c r="A29" s="261" t="n">
        <v>12</v>
      </c>
      <c r="B29" s="149" t="inlineStr">
        <is>
          <t>ФССЦпг-03-21-01-081</t>
        </is>
      </c>
      <c r="C29" s="268" t="inlineStr">
        <is>
          <t>Перевозка грузов автомобилями-самосвалами грузоподъемностью 10 т работающих вне карьера на расстояние: I класс груза до 81 км</t>
        </is>
      </c>
      <c r="D29" s="261" t="inlineStr">
        <is>
          <t>1 т груза</t>
        </is>
      </c>
      <c r="E29" s="140" t="n">
        <v>373.13443762675</v>
      </c>
      <c r="F29" s="270" t="n">
        <v>39.36</v>
      </c>
      <c r="G29" s="32">
        <f>ROUND(E29*F29,2)</f>
        <v/>
      </c>
      <c r="H29" s="142">
        <f>G29/$G$35</f>
        <v/>
      </c>
      <c r="I29" s="32">
        <f>ROUND(F29*'Прил. 10'!$D$12,2)</f>
        <v/>
      </c>
      <c r="J29" s="32">
        <f>ROUND(I29*E29,2)</f>
        <v/>
      </c>
    </row>
    <row r="30" ht="51" customFormat="1" customHeight="1" s="220">
      <c r="A30" s="261" t="n">
        <v>13</v>
      </c>
      <c r="B30" s="149" t="inlineStr">
        <is>
          <t>91.18.01-007</t>
        </is>
      </c>
      <c r="C30" s="268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D30" s="261" t="inlineStr">
        <is>
          <t>маш.час</t>
        </is>
      </c>
      <c r="E30" s="140" t="n">
        <v>140.56770515341</v>
      </c>
      <c r="F30" s="270" t="n">
        <v>90</v>
      </c>
      <c r="G30" s="32">
        <f>ROUND(E30*F30,2)</f>
        <v/>
      </c>
      <c r="H30" s="142">
        <f>G30/$G$35</f>
        <v/>
      </c>
      <c r="I30" s="32">
        <f>ROUND(F30*'Прил. 10'!$D$12,2)</f>
        <v/>
      </c>
      <c r="J30" s="32">
        <f>ROUND(I30*E30,2)</f>
        <v/>
      </c>
    </row>
    <row r="31" ht="25.5" customFormat="1" customHeight="1" s="220">
      <c r="A31" s="261" t="n">
        <v>14</v>
      </c>
      <c r="B31" s="149" t="inlineStr">
        <is>
          <t>91.02.02-003</t>
        </is>
      </c>
      <c r="C31" s="268" t="inlineStr">
        <is>
          <t>Агрегаты копровые без дизель-молота на базе экскаватора: 1 м3</t>
        </is>
      </c>
      <c r="D31" s="261" t="inlineStr">
        <is>
          <t>маш.час</t>
        </is>
      </c>
      <c r="E31" s="140" t="n">
        <v>54.638256320805</v>
      </c>
      <c r="F31" s="270" t="n">
        <v>200.67</v>
      </c>
      <c r="G31" s="32">
        <f>ROUND(E31*F31,2)</f>
        <v/>
      </c>
      <c r="H31" s="142">
        <f>G31/$G$35</f>
        <v/>
      </c>
      <c r="I31" s="32">
        <f>ROUND(F31*'Прил. 10'!$D$12,2)</f>
        <v/>
      </c>
      <c r="J31" s="32">
        <f>ROUND(I31*E31,2)</f>
        <v/>
      </c>
    </row>
    <row r="32" ht="30" customFormat="1" customHeight="1" s="220">
      <c r="A32" s="261" t="n">
        <v>15</v>
      </c>
      <c r="B32" s="149" t="inlineStr">
        <is>
          <t>91.05.05-015</t>
        </is>
      </c>
      <c r="C32" s="268" t="inlineStr">
        <is>
          <t>Краны на автомобильном ходу, грузоподъемность 16 т</t>
        </is>
      </c>
      <c r="D32" s="261" t="inlineStr">
        <is>
          <t>маш.час</t>
        </is>
      </c>
      <c r="E32" s="140" t="n">
        <v>90.5984832425</v>
      </c>
      <c r="F32" s="270" t="n">
        <v>115.4</v>
      </c>
      <c r="G32" s="32">
        <f>ROUND(E32*F32,2)</f>
        <v/>
      </c>
      <c r="H32" s="142">
        <f>G32/$G$35</f>
        <v/>
      </c>
      <c r="I32" s="32">
        <f>ROUND(F32*'Прил. 10'!$D$12,2)</f>
        <v/>
      </c>
      <c r="J32" s="32">
        <f>ROUND(I32*E32,2)</f>
        <v/>
      </c>
    </row>
    <row r="33" ht="14.25" customFormat="1" customHeight="1" s="220">
      <c r="A33" s="261" t="n"/>
      <c r="B33" s="261" t="n"/>
      <c r="C33" s="268" t="inlineStr">
        <is>
          <t>Итого основные машины и механизмы</t>
        </is>
      </c>
      <c r="D33" s="261" t="n"/>
      <c r="E33" s="140" t="n"/>
      <c r="F33" s="32" t="n"/>
      <c r="G33" s="32">
        <f>SUM(G20:G32)</f>
        <v/>
      </c>
      <c r="H33" s="271">
        <f>G33/G35</f>
        <v/>
      </c>
      <c r="I33" s="141" t="n"/>
      <c r="J33" s="32">
        <f>SUM(J20:J32)</f>
        <v/>
      </c>
    </row>
    <row r="34" ht="14.25" customFormat="1" customHeight="1" s="220">
      <c r="A34" s="261" t="n"/>
      <c r="B34" s="261" t="n"/>
      <c r="C34" s="268" t="inlineStr">
        <is>
          <t>Итого прочие машины и механизмы</t>
        </is>
      </c>
      <c r="D34" s="261" t="n"/>
      <c r="E34" s="269" t="n"/>
      <c r="F34" s="32" t="n"/>
      <c r="G34" s="141" t="n">
        <v>58805.2905</v>
      </c>
      <c r="H34" s="142">
        <f>G34/G35</f>
        <v/>
      </c>
      <c r="I34" s="32" t="n"/>
      <c r="J34" s="141" t="n">
        <v>703311.102</v>
      </c>
    </row>
    <row r="35" ht="25.5" customFormat="1" customHeight="1" s="220">
      <c r="A35" s="261" t="n"/>
      <c r="B35" s="261" t="n"/>
      <c r="C35" s="252" t="inlineStr">
        <is>
          <t>Итого по разделу «Машины и механизмы»</t>
        </is>
      </c>
      <c r="D35" s="261" t="n"/>
      <c r="E35" s="269" t="n"/>
      <c r="F35" s="32" t="n"/>
      <c r="G35" s="32">
        <f>G34+G33</f>
        <v/>
      </c>
      <c r="H35" s="143" t="n">
        <v>1</v>
      </c>
      <c r="I35" s="144" t="n"/>
      <c r="J35" s="145">
        <f>J34+J33</f>
        <v/>
      </c>
    </row>
    <row r="36" ht="14.25" customFormat="1" customHeight="1" s="220">
      <c r="A36" s="261" t="n"/>
      <c r="B36" s="252" t="inlineStr">
        <is>
          <t>Оборудование</t>
        </is>
      </c>
      <c r="C36" s="339" t="n"/>
      <c r="D36" s="339" t="n"/>
      <c r="E36" s="339" t="n"/>
      <c r="F36" s="339" t="n"/>
      <c r="G36" s="339" t="n"/>
      <c r="H36" s="340" t="n"/>
      <c r="I36" s="139" t="n"/>
      <c r="J36" s="139" t="n"/>
    </row>
    <row r="37">
      <c r="A37" s="261" t="n"/>
      <c r="B37" s="264" t="inlineStr">
        <is>
          <t>Основное оборудование</t>
        </is>
      </c>
      <c r="C37" s="347" t="n"/>
      <c r="D37" s="347" t="n"/>
      <c r="E37" s="347" t="n"/>
      <c r="F37" s="347" t="n"/>
      <c r="G37" s="347" t="n"/>
      <c r="H37" s="348" t="n"/>
      <c r="I37" s="139" t="n"/>
      <c r="J37" s="139" t="n"/>
    </row>
    <row r="38">
      <c r="A38" s="261" t="n"/>
      <c r="B38" s="261" t="n"/>
      <c r="C38" s="268" t="inlineStr">
        <is>
          <t>Итого основное оборудование</t>
        </is>
      </c>
      <c r="D38" s="261" t="n"/>
      <c r="E38" s="140" t="n"/>
      <c r="F38" s="270" t="n"/>
      <c r="G38" s="32" t="n">
        <v>0</v>
      </c>
      <c r="H38" s="271" t="n">
        <v>0</v>
      </c>
      <c r="I38" s="141" t="n"/>
      <c r="J38" s="32" t="n">
        <v>0</v>
      </c>
    </row>
    <row r="39">
      <c r="A39" s="261" t="n"/>
      <c r="B39" s="261" t="n"/>
      <c r="C39" s="268" t="inlineStr">
        <is>
          <t>Итого прочее оборудование</t>
        </is>
      </c>
      <c r="D39" s="261" t="n"/>
      <c r="E39" s="140" t="n"/>
      <c r="F39" s="270" t="n"/>
      <c r="G39" s="32" t="n">
        <v>0</v>
      </c>
      <c r="H39" s="271" t="n">
        <v>0</v>
      </c>
      <c r="I39" s="141" t="n"/>
      <c r="J39" s="32" t="n">
        <v>0</v>
      </c>
    </row>
    <row r="40">
      <c r="A40" s="261" t="n"/>
      <c r="B40" s="261" t="n"/>
      <c r="C40" s="252" t="inlineStr">
        <is>
          <t>Итого по разделу «Оборудование»</t>
        </is>
      </c>
      <c r="D40" s="261" t="n"/>
      <c r="E40" s="269" t="n"/>
      <c r="F40" s="270" t="n"/>
      <c r="G40" s="32">
        <f>G39+G38</f>
        <v/>
      </c>
      <c r="H40" s="271">
        <f>H39+H38</f>
        <v/>
      </c>
      <c r="I40" s="141" t="n"/>
      <c r="J40" s="32">
        <f>J39+J38</f>
        <v/>
      </c>
    </row>
    <row r="41" ht="25.5" customHeight="1" s="213">
      <c r="A41" s="261" t="n"/>
      <c r="B41" s="261" t="n"/>
      <c r="C41" s="268" t="inlineStr">
        <is>
          <t>в том числе технологическое оборудование</t>
        </is>
      </c>
      <c r="D41" s="261" t="n"/>
      <c r="E41" s="146" t="n"/>
      <c r="F41" s="270" t="n"/>
      <c r="G41" s="32">
        <f>G40</f>
        <v/>
      </c>
      <c r="H41" s="271" t="n"/>
      <c r="I41" s="141" t="n"/>
      <c r="J41" s="32">
        <f>J40</f>
        <v/>
      </c>
    </row>
    <row r="42" ht="14.25" customFormat="1" customHeight="1" s="220">
      <c r="A42" s="261" t="n"/>
      <c r="B42" s="252" t="inlineStr">
        <is>
          <t>Материалы</t>
        </is>
      </c>
      <c r="C42" s="339" t="n"/>
      <c r="D42" s="339" t="n"/>
      <c r="E42" s="339" t="n"/>
      <c r="F42" s="339" t="n"/>
      <c r="G42" s="339" t="n"/>
      <c r="H42" s="340" t="n"/>
      <c r="I42" s="139" t="n"/>
      <c r="J42" s="139" t="n"/>
    </row>
    <row r="43" ht="14.25" customFormat="1" customHeight="1" s="220">
      <c r="A43" s="262" t="n"/>
      <c r="B43" s="264" t="inlineStr">
        <is>
          <t>Основные материалы</t>
        </is>
      </c>
      <c r="C43" s="347" t="n"/>
      <c r="D43" s="347" t="n"/>
      <c r="E43" s="347" t="n"/>
      <c r="F43" s="347" t="n"/>
      <c r="G43" s="347" t="n"/>
      <c r="H43" s="348" t="n"/>
      <c r="I43" s="151" t="n"/>
      <c r="J43" s="151" t="n"/>
    </row>
    <row r="44" ht="25.5" customFormat="1" customHeight="1" s="220">
      <c r="A44" s="261" t="n">
        <v>16</v>
      </c>
      <c r="B44" s="149" t="inlineStr">
        <is>
          <t>БЦ.113.16</t>
        </is>
      </c>
      <c r="C44" s="268" t="inlineStr">
        <is>
          <t>Фундамент Ф2-А</t>
        </is>
      </c>
      <c r="D44" s="261" t="inlineStr">
        <is>
          <t>м3</t>
        </is>
      </c>
      <c r="E44" s="140" t="n">
        <v>1199.4773333333</v>
      </c>
      <c r="F44" s="270">
        <f>ROUND(I44/'Прил. 10'!D12,2)</f>
        <v/>
      </c>
      <c r="G44" s="32">
        <f>ROUND(E44*F44,2)</f>
        <v/>
      </c>
      <c r="H44" s="142">
        <f>G44/$G$49</f>
        <v/>
      </c>
      <c r="I44" s="32" t="n">
        <v>56226.42</v>
      </c>
      <c r="J44" s="32">
        <f>ROUND(I44*E44,2)</f>
        <v/>
      </c>
    </row>
    <row r="45" ht="25.5" customFormat="1" customHeight="1" s="220">
      <c r="A45" s="261" t="n">
        <v>17</v>
      </c>
      <c r="B45" s="149" t="inlineStr">
        <is>
          <t>22.2.01.03-0003</t>
        </is>
      </c>
      <c r="C45" s="268" t="inlineStr">
        <is>
          <t>Изоляторы линейные подвесные стеклянные ПСД-70Е</t>
        </is>
      </c>
      <c r="D45" s="261" t="inlineStr">
        <is>
          <t>шт</t>
        </is>
      </c>
      <c r="E45" s="140" t="n">
        <v>4400</v>
      </c>
      <c r="F45" s="270" t="n">
        <v>169.25</v>
      </c>
      <c r="G45" s="32">
        <f>ROUND(E45*F45,2)</f>
        <v/>
      </c>
      <c r="H45" s="142">
        <f>G45/$G$49</f>
        <v/>
      </c>
      <c r="I45" s="32">
        <f>ROUND(F45*'Прил. 10'!$D$13,2)</f>
        <v/>
      </c>
      <c r="J45" s="32">
        <f>ROUND(I45*E45,2)</f>
        <v/>
      </c>
    </row>
    <row r="46" ht="25.5" customFormat="1" customHeight="1" s="220">
      <c r="A46" s="261" t="n">
        <v>18</v>
      </c>
      <c r="B46" s="149" t="inlineStr">
        <is>
          <t>22.2.01.03-0001</t>
        </is>
      </c>
      <c r="C46" s="268" t="inlineStr">
        <is>
          <t>Изоляторы линейные подвесные стеклянные ПСВ-120Б</t>
        </is>
      </c>
      <c r="D46" s="261" t="inlineStr">
        <is>
          <t>шт</t>
        </is>
      </c>
      <c r="E46" s="140" t="n">
        <v>3085.8666666667</v>
      </c>
      <c r="F46" s="270" t="n">
        <v>202.55</v>
      </c>
      <c r="G46" s="32">
        <f>ROUND(E46*F46,2)</f>
        <v/>
      </c>
      <c r="H46" s="142">
        <f>G46/$G$49</f>
        <v/>
      </c>
      <c r="I46" s="32">
        <f>ROUND(F46*'Прил. 10'!$D$13,2)</f>
        <v/>
      </c>
      <c r="J46" s="32">
        <f>ROUND(I46*E46,2)</f>
        <v/>
      </c>
    </row>
    <row r="47" ht="14.25" customFormat="1" customHeight="1" s="220">
      <c r="A47" s="263" t="n"/>
      <c r="B47" s="153" t="n"/>
      <c r="C47" s="154" t="inlineStr">
        <is>
          <t>Итого основные материалы</t>
        </is>
      </c>
      <c r="D47" s="263" t="n"/>
      <c r="E47" s="140" t="n"/>
      <c r="F47" s="145" t="n"/>
      <c r="G47" s="145">
        <f>SUM(G44:G46)</f>
        <v/>
      </c>
      <c r="H47" s="142">
        <f>G47/$G$49</f>
        <v/>
      </c>
      <c r="I47" s="32" t="n"/>
      <c r="J47" s="145">
        <f>SUM(J44:J46)</f>
        <v/>
      </c>
    </row>
    <row r="48" ht="14.25" customFormat="1" customHeight="1" s="220">
      <c r="A48" s="261" t="n"/>
      <c r="B48" s="261" t="n"/>
      <c r="C48" s="268" t="inlineStr">
        <is>
          <t>Итого прочие материалы</t>
        </is>
      </c>
      <c r="D48" s="261" t="n"/>
      <c r="E48" s="269" t="n"/>
      <c r="F48" s="270" t="n"/>
      <c r="G48" s="210" t="n">
        <v>841048.4544</v>
      </c>
      <c r="H48" s="142">
        <f>G48/$G$49</f>
        <v/>
      </c>
      <c r="I48" s="32" t="n"/>
      <c r="J48" s="210" t="n">
        <v>9710468.2116</v>
      </c>
    </row>
    <row r="49" ht="14.25" customFormat="1" customHeight="1" s="220">
      <c r="A49" s="261" t="n"/>
      <c r="B49" s="261" t="n"/>
      <c r="C49" s="252" t="inlineStr">
        <is>
          <t>Итого по разделу «Материалы»</t>
        </is>
      </c>
      <c r="D49" s="261" t="n"/>
      <c r="E49" s="269" t="n"/>
      <c r="F49" s="270" t="n"/>
      <c r="G49" s="211">
        <f>G47+G48</f>
        <v/>
      </c>
      <c r="H49" s="142">
        <f>G49/$G$49</f>
        <v/>
      </c>
      <c r="I49" s="32" t="n"/>
      <c r="J49" s="32">
        <f>J47+J48</f>
        <v/>
      </c>
    </row>
    <row r="50" ht="14.25" customFormat="1" customHeight="1" s="220">
      <c r="A50" s="261" t="n"/>
      <c r="B50" s="261" t="n"/>
      <c r="C50" s="268" t="inlineStr">
        <is>
          <t>ИТОГО ПО РМ</t>
        </is>
      </c>
      <c r="D50" s="261" t="n"/>
      <c r="E50" s="269" t="n"/>
      <c r="F50" s="270" t="n"/>
      <c r="G50" s="211">
        <f>G15+G35+G49</f>
        <v/>
      </c>
      <c r="H50" s="271" t="n"/>
      <c r="I50" s="32" t="n"/>
      <c r="J50" s="32">
        <f>J15+J35+J49</f>
        <v/>
      </c>
    </row>
    <row r="51" ht="14.25" customFormat="1" customHeight="1" s="220">
      <c r="A51" s="261" t="n"/>
      <c r="B51" s="261" t="n"/>
      <c r="C51" s="268" t="inlineStr">
        <is>
          <t>Накладные расходы</t>
        </is>
      </c>
      <c r="D51" s="147" t="n">
        <v>0.54</v>
      </c>
      <c r="E51" s="269" t="n"/>
      <c r="F51" s="270" t="n"/>
      <c r="G51" s="211">
        <f>D51*($G$15+$G$17)</f>
        <v/>
      </c>
      <c r="H51" s="271" t="n"/>
      <c r="I51" s="32" t="n"/>
      <c r="J51" s="32">
        <f>ROUND(D51*(J15+J17),2)</f>
        <v/>
      </c>
    </row>
    <row r="52" ht="14.25" customFormat="1" customHeight="1" s="220">
      <c r="A52" s="261" t="n"/>
      <c r="B52" s="261" t="n"/>
      <c r="C52" s="268" t="inlineStr">
        <is>
          <t>Сметная прибыль</t>
        </is>
      </c>
      <c r="D52" s="147" t="n">
        <v>0.32</v>
      </c>
      <c r="E52" s="269" t="n"/>
      <c r="F52" s="270" t="n"/>
      <c r="G52" s="211">
        <f>D52*($G$15+$G$17)</f>
        <v/>
      </c>
      <c r="H52" s="271" t="n"/>
      <c r="I52" s="32" t="n"/>
      <c r="J52" s="32">
        <f>ROUND(D52*(J15+J17),2)</f>
        <v/>
      </c>
    </row>
    <row r="53" ht="14.25" customFormat="1" customHeight="1" s="220">
      <c r="A53" s="261" t="n"/>
      <c r="B53" s="261" t="n"/>
      <c r="C53" s="268" t="inlineStr">
        <is>
          <t>Итого СМР (с НР и СП)</t>
        </is>
      </c>
      <c r="D53" s="261" t="n"/>
      <c r="E53" s="269" t="n"/>
      <c r="F53" s="270" t="n"/>
      <c r="G53" s="211">
        <f>G15+G35+G49+G51+G52</f>
        <v/>
      </c>
      <c r="H53" s="271" t="n"/>
      <c r="I53" s="32" t="n"/>
      <c r="J53" s="32">
        <f>J15+J35+J49+J51+J52</f>
        <v/>
      </c>
    </row>
    <row r="54" ht="14.25" customFormat="1" customHeight="1" s="220">
      <c r="A54" s="261" t="n"/>
      <c r="B54" s="261" t="n"/>
      <c r="C54" s="268" t="inlineStr">
        <is>
          <t>ВСЕГО СМР + ОБОРУДОВАНИЕ</t>
        </is>
      </c>
      <c r="D54" s="261" t="n"/>
      <c r="E54" s="269" t="n"/>
      <c r="F54" s="270" t="n"/>
      <c r="G54" s="32">
        <f>G53+G40</f>
        <v/>
      </c>
      <c r="H54" s="271" t="n"/>
      <c r="I54" s="32" t="n"/>
      <c r="J54" s="32">
        <f>J53+J40</f>
        <v/>
      </c>
    </row>
    <row r="55" ht="34.5" customFormat="1" customHeight="1" s="220">
      <c r="A55" s="261" t="n"/>
      <c r="B55" s="261" t="n"/>
      <c r="C55" s="268" t="inlineStr">
        <is>
          <t>ИТОГО ПОКАЗАТЕЛЬ НА ЕД. ИЗМ.</t>
        </is>
      </c>
      <c r="D55" s="261" t="inlineStr">
        <is>
          <t>1 тн опор</t>
        </is>
      </c>
      <c r="E55" s="146" t="n">
        <v>664.4736</v>
      </c>
      <c r="F55" s="270" t="n"/>
      <c r="G55" s="32">
        <f>G54/E55</f>
        <v/>
      </c>
      <c r="H55" s="271" t="n"/>
      <c r="I55" s="32" t="n"/>
      <c r="J55" s="32">
        <f>J54/E55</f>
        <v/>
      </c>
    </row>
    <row r="57" ht="14.25" customFormat="1" customHeight="1" s="220">
      <c r="A57" s="219" t="inlineStr">
        <is>
          <t>Составил ______________________     Е. М. Добровольская</t>
        </is>
      </c>
    </row>
    <row r="58" ht="14.25" customFormat="1" customHeight="1" s="220">
      <c r="A58" s="222" t="inlineStr">
        <is>
          <t xml:space="preserve">                         (подпись, инициалы, фамилия)</t>
        </is>
      </c>
    </row>
    <row r="59" ht="14.25" customFormat="1" customHeight="1" s="220">
      <c r="A59" s="219" t="n"/>
    </row>
    <row r="60" ht="14.25" customFormat="1" customHeight="1" s="220">
      <c r="A60" s="219" t="inlineStr">
        <is>
          <t>Проверил ______________________        А.В. Костянецкая</t>
        </is>
      </c>
    </row>
    <row r="61" ht="14.25" customFormat="1" customHeight="1" s="220">
      <c r="A61" s="222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H2:J2"/>
    <mergeCell ref="C10:C11"/>
    <mergeCell ref="E10:E11"/>
    <mergeCell ref="B36:H36"/>
    <mergeCell ref="A7:H7"/>
    <mergeCell ref="B16:H16"/>
    <mergeCell ref="B10:B11"/>
    <mergeCell ref="B18:H18"/>
    <mergeCell ref="B43:H43"/>
    <mergeCell ref="D6:J6"/>
    <mergeCell ref="B42:H42"/>
    <mergeCell ref="A10:A11"/>
    <mergeCell ref="A8:H8"/>
    <mergeCell ref="D10:D11"/>
    <mergeCell ref="B13:H13"/>
    <mergeCell ref="I10:J10"/>
    <mergeCell ref="B19:H19"/>
    <mergeCell ref="B37:H37"/>
    <mergeCell ref="H10:H11"/>
  </mergeCells>
  <pageMargins left="0.6299212598425197" right="0.2362204724409449" top="0.7480314960629921" bottom="0.7480314960629921" header="0.3149606299212598" footer="0.3149606299212598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 fitToPage="1"/>
  </sheetPr>
  <dimension ref="A1:G20"/>
  <sheetViews>
    <sheetView view="pageBreakPreview" workbookViewId="0">
      <selection activeCell="C15" sqref="C15"/>
    </sheetView>
  </sheetViews>
  <sheetFormatPr baseColWidth="8" defaultRowHeight="14.4"/>
  <cols>
    <col width="5.6640625" customWidth="1" style="213" min="1" max="1"/>
    <col width="17.5546875" customWidth="1" style="213" min="2" max="2"/>
    <col width="39.109375" customWidth="1" style="213" min="3" max="3"/>
    <col width="10.6640625" customWidth="1" style="213" min="4" max="4"/>
    <col width="13.88671875" customWidth="1" style="213" min="5" max="5"/>
    <col width="13.33203125" customWidth="1" style="213" min="6" max="6"/>
    <col width="14.109375" customWidth="1" style="213" min="7" max="7"/>
  </cols>
  <sheetData>
    <row r="1">
      <c r="A1" s="288" t="inlineStr">
        <is>
          <t>Приложение №6</t>
        </is>
      </c>
    </row>
    <row r="2" ht="21.75" customHeight="1" s="213">
      <c r="A2" s="288" t="n"/>
      <c r="B2" s="288" t="n"/>
      <c r="C2" s="288" t="n"/>
      <c r="D2" s="288" t="n"/>
      <c r="E2" s="288" t="n"/>
      <c r="F2" s="288" t="n"/>
      <c r="G2" s="288" t="n"/>
    </row>
    <row r="3">
      <c r="A3" s="228" t="inlineStr">
        <is>
          <t>Расчет стоимости оборудования</t>
        </is>
      </c>
    </row>
    <row r="4" ht="25.5" customHeight="1" s="213">
      <c r="A4" s="231" t="inlineStr">
        <is>
          <t>Наименование разрабатываемого показателя УНЦ — Строительно-монтажные работы ВЛ 0,4-750 кВ без опор и провода. Двухцепная, все типы опор за исключением многогранных 35 кВ.</t>
        </is>
      </c>
    </row>
    <row r="5">
      <c r="A5" s="219" t="n"/>
      <c r="B5" s="219" t="n"/>
      <c r="C5" s="219" t="n"/>
      <c r="D5" s="219" t="n"/>
      <c r="E5" s="219" t="n"/>
      <c r="F5" s="219" t="n"/>
      <c r="G5" s="219" t="n"/>
    </row>
    <row r="6" ht="30" customHeight="1" s="213">
      <c r="A6" s="293" t="inlineStr">
        <is>
          <t>№ пп.</t>
        </is>
      </c>
      <c r="B6" s="293" t="inlineStr">
        <is>
          <t>Код ресурса</t>
        </is>
      </c>
      <c r="C6" s="293" t="inlineStr">
        <is>
          <t>Наименование</t>
        </is>
      </c>
      <c r="D6" s="293" t="inlineStr">
        <is>
          <t>Ед. изм.</t>
        </is>
      </c>
      <c r="E6" s="261" t="inlineStr">
        <is>
          <t>Кол-во единиц по проектным данным</t>
        </is>
      </c>
      <c r="F6" s="293" t="inlineStr">
        <is>
          <t>Сметная стоимость в ценах на 01.01.2000 (руб.)</t>
        </is>
      </c>
      <c r="G6" s="340" t="n"/>
    </row>
    <row r="7">
      <c r="A7" s="342" t="n"/>
      <c r="B7" s="342" t="n"/>
      <c r="C7" s="342" t="n"/>
      <c r="D7" s="342" t="n"/>
      <c r="E7" s="342" t="n"/>
      <c r="F7" s="261" t="inlineStr">
        <is>
          <t>на ед. изм.</t>
        </is>
      </c>
      <c r="G7" s="261" t="inlineStr">
        <is>
          <t>общая</t>
        </is>
      </c>
    </row>
    <row r="8">
      <c r="A8" s="261" t="n">
        <v>1</v>
      </c>
      <c r="B8" s="261" t="n">
        <v>2</v>
      </c>
      <c r="C8" s="261" t="n">
        <v>3</v>
      </c>
      <c r="D8" s="261" t="n">
        <v>4</v>
      </c>
      <c r="E8" s="261" t="n">
        <v>5</v>
      </c>
      <c r="F8" s="261" t="n">
        <v>6</v>
      </c>
      <c r="G8" s="261" t="n">
        <v>7</v>
      </c>
    </row>
    <row r="9" ht="15" customHeight="1" s="213">
      <c r="A9" s="25" t="n"/>
      <c r="B9" s="268" t="inlineStr">
        <is>
          <t>ИНЖЕНЕРНОЕ ОБОРУДОВАНИЕ</t>
        </is>
      </c>
      <c r="C9" s="339" t="n"/>
      <c r="D9" s="339" t="n"/>
      <c r="E9" s="339" t="n"/>
      <c r="F9" s="339" t="n"/>
      <c r="G9" s="340" t="n"/>
    </row>
    <row r="10" ht="27" customHeight="1" s="213">
      <c r="A10" s="261" t="n"/>
      <c r="B10" s="252" t="n"/>
      <c r="C10" s="268" t="inlineStr">
        <is>
          <t>ИТОГО ИНЖЕНЕРНОЕ ОБОРУДОВАНИЕ</t>
        </is>
      </c>
      <c r="D10" s="252" t="n"/>
      <c r="E10" s="105" t="n"/>
      <c r="F10" s="270" t="n"/>
      <c r="G10" s="270" t="n">
        <v>0</v>
      </c>
    </row>
    <row r="11">
      <c r="A11" s="261" t="n"/>
      <c r="B11" s="268" t="inlineStr">
        <is>
          <t>ТЕХНОЛОГИЧЕСКОЕ ОБОРУДОВАНИЕ</t>
        </is>
      </c>
      <c r="C11" s="339" t="n"/>
      <c r="D11" s="339" t="n"/>
      <c r="E11" s="339" t="n"/>
      <c r="F11" s="339" t="n"/>
      <c r="G11" s="340" t="n"/>
    </row>
    <row r="12" ht="41.25" customHeight="1" s="213">
      <c r="A12" s="261" t="n">
        <v>1</v>
      </c>
      <c r="B12" s="268" t="n"/>
      <c r="C12" s="268" t="n"/>
      <c r="D12" s="261" t="n"/>
      <c r="E12" s="140" t="n"/>
      <c r="F12" s="292" t="n"/>
      <c r="G12" s="32" t="n"/>
    </row>
    <row r="13" ht="25.5" customHeight="1" s="213">
      <c r="A13" s="261" t="n"/>
      <c r="B13" s="268" t="n"/>
      <c r="C13" s="268" t="inlineStr">
        <is>
          <t>ИТОГО ТЕХНОЛОГИЧЕСКОЕ ОБОРУДОВАНИЕ</t>
        </is>
      </c>
      <c r="D13" s="268" t="n"/>
      <c r="E13" s="292" t="n"/>
      <c r="F13" s="270" t="n"/>
      <c r="G13" s="32">
        <f>SUM(G12:G12)</f>
        <v/>
      </c>
    </row>
    <row r="14" ht="19.5" customHeight="1" s="213">
      <c r="A14" s="261" t="n"/>
      <c r="B14" s="268" t="n"/>
      <c r="C14" s="268" t="inlineStr">
        <is>
          <t>Всего по разделу «Оборудование»</t>
        </is>
      </c>
      <c r="D14" s="268" t="n"/>
      <c r="E14" s="292" t="n"/>
      <c r="F14" s="270" t="n"/>
      <c r="G14" s="32">
        <f>G10+G13</f>
        <v/>
      </c>
    </row>
    <row r="15">
      <c r="A15" s="221" t="n"/>
      <c r="B15" s="106" t="n"/>
      <c r="C15" s="221" t="n"/>
      <c r="D15" s="221" t="n"/>
      <c r="E15" s="221" t="n"/>
      <c r="F15" s="221" t="n"/>
      <c r="G15" s="221" t="n"/>
    </row>
    <row r="16">
      <c r="A16" s="219" t="inlineStr">
        <is>
          <t>Составил ______________________    Е. М. Добровольская</t>
        </is>
      </c>
      <c r="B16" s="220" t="n"/>
      <c r="C16" s="220" t="n"/>
      <c r="D16" s="221" t="n"/>
      <c r="E16" s="221" t="n"/>
      <c r="F16" s="221" t="n"/>
      <c r="G16" s="221" t="n"/>
    </row>
    <row r="17">
      <c r="A17" s="222" t="inlineStr">
        <is>
          <t xml:space="preserve">                         (подпись, инициалы, фамилия)</t>
        </is>
      </c>
      <c r="B17" s="220" t="n"/>
      <c r="C17" s="220" t="n"/>
      <c r="D17" s="221" t="n"/>
      <c r="E17" s="221" t="n"/>
      <c r="F17" s="221" t="n"/>
      <c r="G17" s="221" t="n"/>
    </row>
    <row r="18">
      <c r="A18" s="219" t="n"/>
      <c r="B18" s="220" t="n"/>
      <c r="C18" s="220" t="n"/>
      <c r="D18" s="221" t="n"/>
      <c r="E18" s="221" t="n"/>
      <c r="F18" s="221" t="n"/>
      <c r="G18" s="221" t="n"/>
    </row>
    <row r="19">
      <c r="A19" s="219" t="inlineStr">
        <is>
          <t>Проверил ______________________        А.В. Костянецкая</t>
        </is>
      </c>
      <c r="B19" s="220" t="n"/>
      <c r="C19" s="220" t="n"/>
      <c r="D19" s="221" t="n"/>
      <c r="E19" s="221" t="n"/>
      <c r="F19" s="221" t="n"/>
      <c r="G19" s="221" t="n"/>
    </row>
    <row r="20">
      <c r="A20" s="222" t="inlineStr">
        <is>
          <t xml:space="preserve">                        (подпись, инициалы, фамилия)</t>
        </is>
      </c>
      <c r="B20" s="220" t="n"/>
      <c r="C20" s="220" t="n"/>
      <c r="D20" s="221" t="n"/>
      <c r="E20" s="221" t="n"/>
      <c r="F20" s="221" t="n"/>
      <c r="G20" s="221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 fitToPage="1"/>
  </sheetPr>
  <dimension ref="A1:D17"/>
  <sheetViews>
    <sheetView view="pageBreakPreview" workbookViewId="0">
      <selection activeCell="B13" sqref="B13"/>
    </sheetView>
  </sheetViews>
  <sheetFormatPr baseColWidth="8" defaultRowHeight="14.4"/>
  <cols>
    <col width="12.6640625" customWidth="1" style="213" min="1" max="1"/>
    <col width="22.44140625" customWidth="1" style="213" min="2" max="2"/>
    <col width="37.109375" customWidth="1" style="213" min="3" max="3"/>
    <col width="49" customWidth="1" style="213" min="4" max="4"/>
    <col width="9.109375" customWidth="1" style="213" min="5" max="5"/>
  </cols>
  <sheetData>
    <row r="1" ht="15.75" customHeight="1" s="213">
      <c r="A1" s="212" t="n"/>
      <c r="B1" s="212" t="n"/>
      <c r="C1" s="212" t="n"/>
      <c r="D1" s="212" t="inlineStr">
        <is>
          <t>Приложение №7</t>
        </is>
      </c>
    </row>
    <row r="2" ht="15.75" customHeight="1" s="213">
      <c r="A2" s="212" t="n"/>
      <c r="B2" s="212" t="n"/>
      <c r="C2" s="212" t="n"/>
      <c r="D2" s="212" t="n"/>
    </row>
    <row r="3" ht="15.75" customHeight="1" s="213">
      <c r="A3" s="212" t="n"/>
      <c r="B3" s="214" t="inlineStr">
        <is>
          <t>Расчет показателя УНЦ</t>
        </is>
      </c>
      <c r="C3" s="212" t="n"/>
      <c r="D3" s="212" t="n"/>
    </row>
    <row r="4" ht="15.75" customHeight="1" s="213">
      <c r="A4" s="212" t="n"/>
      <c r="B4" s="212" t="n"/>
      <c r="C4" s="212" t="n"/>
      <c r="D4" s="212" t="n"/>
    </row>
    <row r="5" ht="47.25" customHeight="1" s="213">
      <c r="A5" s="294" t="inlineStr">
        <is>
          <t xml:space="preserve">Наименование разрабатываемого показателя УНЦ - </t>
        </is>
      </c>
      <c r="D5" s="294">
        <f>'Прил.5 Расчет СМР и ОБ'!D6:J6</f>
        <v/>
      </c>
    </row>
    <row r="6" ht="15.75" customHeight="1" s="213">
      <c r="A6" s="212" t="inlineStr">
        <is>
          <t>Единица измерения  — 1 тн опор</t>
        </is>
      </c>
      <c r="B6" s="212" t="n"/>
      <c r="C6" s="212" t="n"/>
      <c r="D6" s="212" t="n"/>
    </row>
    <row r="7" ht="15.75" customHeight="1" s="213">
      <c r="A7" s="212" t="n"/>
      <c r="B7" s="212" t="n"/>
      <c r="C7" s="212" t="n"/>
      <c r="D7" s="212" t="n"/>
    </row>
    <row r="8">
      <c r="A8" s="244" t="inlineStr">
        <is>
          <t>Код показателя</t>
        </is>
      </c>
      <c r="B8" s="244" t="inlineStr">
        <is>
          <t>Наименование показателя</t>
        </is>
      </c>
      <c r="C8" s="244" t="inlineStr">
        <is>
          <t>Наименование РМ, входящих в состав показателя</t>
        </is>
      </c>
      <c r="D8" s="244" t="inlineStr">
        <is>
          <t>Норматив цены на 01.01.2023, тыс.руб.</t>
        </is>
      </c>
    </row>
    <row r="9">
      <c r="A9" s="342" t="n"/>
      <c r="B9" s="342" t="n"/>
      <c r="C9" s="342" t="n"/>
      <c r="D9" s="342" t="n"/>
    </row>
    <row r="10" ht="15.75" customHeight="1" s="213">
      <c r="A10" s="244" t="n">
        <v>1</v>
      </c>
      <c r="B10" s="244" t="n">
        <v>2</v>
      </c>
      <c r="C10" s="244" t="n">
        <v>3</v>
      </c>
      <c r="D10" s="244" t="n">
        <v>4</v>
      </c>
    </row>
    <row r="11" ht="63" customHeight="1" s="213">
      <c r="A11" s="244" t="inlineStr">
        <is>
          <t>Л2-03-2</t>
        </is>
      </c>
      <c r="B11" s="244" t="inlineStr">
        <is>
          <t>УНЦ ВЛ 0,4 - 750 кВ на строительно-монтажные работы без опор и провода</t>
        </is>
      </c>
      <c r="C11" s="217">
        <f>D5</f>
        <v/>
      </c>
      <c r="D11" s="218">
        <f>'Прил.4 РМ'!C41/1000</f>
        <v/>
      </c>
    </row>
    <row r="13">
      <c r="A13" s="219" t="inlineStr">
        <is>
          <t>Составил ______________________     Е. М. Добровольская</t>
        </is>
      </c>
      <c r="B13" s="220" t="n"/>
      <c r="C13" s="220" t="n"/>
      <c r="D13" s="221" t="n"/>
    </row>
    <row r="14">
      <c r="A14" s="222" t="inlineStr">
        <is>
          <t xml:space="preserve">                         (подпись, инициалы, фамилия)</t>
        </is>
      </c>
      <c r="B14" s="220" t="n"/>
      <c r="C14" s="220" t="n"/>
      <c r="D14" s="221" t="n"/>
    </row>
    <row r="15">
      <c r="A15" s="219" t="n"/>
      <c r="B15" s="220" t="n"/>
      <c r="C15" s="220" t="n"/>
      <c r="D15" s="221" t="n"/>
    </row>
    <row r="16">
      <c r="A16" s="219" t="inlineStr">
        <is>
          <t>Проверил ______________________        А.В. Костянецкая</t>
        </is>
      </c>
      <c r="B16" s="220" t="n"/>
      <c r="C16" s="220" t="n"/>
      <c r="D16" s="221" t="n"/>
    </row>
    <row r="17" ht="20.25" customHeight="1" s="213">
      <c r="A17" s="222" t="inlineStr">
        <is>
          <t xml:space="preserve">                        (подпись, инициалы, фамилия)</t>
        </is>
      </c>
      <c r="B17" s="220" t="n"/>
      <c r="C17" s="220" t="n"/>
      <c r="D17" s="221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30"/>
  <sheetViews>
    <sheetView view="pageBreakPreview" topLeftCell="A4" zoomScale="60" zoomScaleNormal="85" workbookViewId="0">
      <selection activeCell="B25" sqref="B25"/>
    </sheetView>
  </sheetViews>
  <sheetFormatPr baseColWidth="8" defaultRowHeight="14.4"/>
  <cols>
    <col width="9.109375" customWidth="1" style="213" min="1" max="1"/>
    <col width="40.6640625" customWidth="1" style="213" min="2" max="2"/>
    <col width="37" customWidth="1" style="213" min="3" max="3"/>
    <col width="32" customWidth="1" style="213" min="4" max="4"/>
    <col width="9.109375" customWidth="1" style="213" min="5" max="5"/>
  </cols>
  <sheetData>
    <row r="4" ht="15.75" customHeight="1" s="213">
      <c r="B4" s="235" t="inlineStr">
        <is>
          <t>Приложение № 10</t>
        </is>
      </c>
    </row>
    <row r="5" ht="18.75" customHeight="1" s="213">
      <c r="B5" s="132" t="n"/>
    </row>
    <row r="6" ht="15.75" customHeight="1" s="213">
      <c r="B6" s="236" t="inlineStr">
        <is>
          <t>Используемые индексы изменений сметной стоимости и нормы сопутствующих затрат</t>
        </is>
      </c>
    </row>
    <row r="7">
      <c r="B7" s="295" t="n"/>
    </row>
    <row r="8">
      <c r="B8" s="295" t="n"/>
      <c r="C8" s="295" t="n"/>
      <c r="D8" s="295" t="n"/>
      <c r="E8" s="295" t="n"/>
    </row>
    <row r="9" ht="47.25" customHeight="1" s="213">
      <c r="B9" s="244" t="inlineStr">
        <is>
          <t>Наименование индекса / норм сопутствующих затрат</t>
        </is>
      </c>
      <c r="C9" s="244" t="inlineStr">
        <is>
          <t>Дата применения и обоснование индекса / норм сопутствующих затрат</t>
        </is>
      </c>
      <c r="D9" s="244" t="inlineStr">
        <is>
          <t>Размер индекса / норма сопутствующих затрат</t>
        </is>
      </c>
    </row>
    <row r="10" ht="15.75" customHeight="1" s="213">
      <c r="B10" s="244" t="n">
        <v>1</v>
      </c>
      <c r="C10" s="244" t="n">
        <v>2</v>
      </c>
      <c r="D10" s="244" t="n">
        <v>3</v>
      </c>
    </row>
    <row r="11" ht="45" customHeight="1" s="213">
      <c r="B11" s="244" t="inlineStr">
        <is>
          <t xml:space="preserve">Индекс изменения сметной стоимости на 1 квартал 2023 года. ОЗП </t>
        </is>
      </c>
      <c r="C11" s="244" t="inlineStr">
        <is>
          <t>Письмо Минстроя России от 30.03.2023г. №17106-ИФ/09  прил.1</t>
        </is>
      </c>
      <c r="D11" s="244" t="n">
        <v>46.83</v>
      </c>
    </row>
    <row r="12" ht="29.25" customHeight="1" s="213">
      <c r="B12" s="244" t="inlineStr">
        <is>
          <t>Индекс изменения сметной стоимости на 1 квартал 2023 года. ЭМ</t>
        </is>
      </c>
      <c r="C12" s="244" t="inlineStr">
        <is>
          <t>Письмо Минстроя России от 30.03.2023г. №17106-ИФ/09  прил.1</t>
        </is>
      </c>
      <c r="D12" s="244" t="n">
        <v>11.96</v>
      </c>
    </row>
    <row r="13" ht="29.25" customHeight="1" s="213">
      <c r="B13" s="244" t="inlineStr">
        <is>
          <t>Индекс изменения сметной стоимости на 1 квартал 2023 года. МАТ</t>
        </is>
      </c>
      <c r="C13" s="244" t="inlineStr">
        <is>
          <t>Письмо Минстроя России от 30.03.2023г. №17106-ИФ/09  прил.1</t>
        </is>
      </c>
      <c r="D13" s="244" t="n">
        <v>9.84</v>
      </c>
    </row>
    <row r="14" ht="30.75" customHeight="1" s="213">
      <c r="B14" s="244" t="inlineStr">
        <is>
          <t>Индекс изменения сметной стоимости на 1 квартал 2023 года. ОБ</t>
        </is>
      </c>
      <c r="C14" s="116" t="inlineStr">
        <is>
          <t>Письмо Минстроя России от 23.02.2023г. №9791-ИФ/09 прил.6</t>
        </is>
      </c>
      <c r="D14" s="244" t="n">
        <v>6.26</v>
      </c>
    </row>
    <row r="15" ht="89.25" customHeight="1" s="213">
      <c r="B15" s="244" t="inlineStr">
        <is>
          <t>Временные здания и сооружения</t>
        </is>
      </c>
      <c r="C15" s="244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34" t="n">
        <v>0.033</v>
      </c>
    </row>
    <row r="16" ht="78.75" customHeight="1" s="213">
      <c r="B16" s="244" t="inlineStr">
        <is>
          <t>Дополнительные затраты при производстве строительно-монтажных работ в зимнее время</t>
        </is>
      </c>
      <c r="C16" s="244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34" t="n">
        <v>0.01</v>
      </c>
    </row>
    <row r="17" ht="31.5" customHeight="1" s="213">
      <c r="B17" s="244" t="inlineStr">
        <is>
          <t>Строительный контроль</t>
        </is>
      </c>
      <c r="C17" s="244" t="inlineStr">
        <is>
          <t>Постановление Правительства РФ от 21.06.10 г. № 468</t>
        </is>
      </c>
      <c r="D17" s="134" t="n">
        <v>0.0214</v>
      </c>
    </row>
    <row r="18" ht="31.5" customHeight="1" s="213">
      <c r="B18" s="244" t="inlineStr">
        <is>
          <t>Авторский надзор - 0,2%</t>
        </is>
      </c>
      <c r="C18" s="244" t="inlineStr">
        <is>
          <t>Приказ от 4.08.2020 № 421/пр п.173</t>
        </is>
      </c>
      <c r="D18" s="134" t="n">
        <v>0.002</v>
      </c>
    </row>
    <row r="19" ht="24" customHeight="1" s="213">
      <c r="B19" s="244" t="inlineStr">
        <is>
          <t>Непредвиденные расходы</t>
        </is>
      </c>
      <c r="C19" s="244" t="inlineStr">
        <is>
          <t>Приказ от 4.08.2020 № 421/пр п.179</t>
        </is>
      </c>
      <c r="D19" s="134" t="n">
        <v>0.03</v>
      </c>
    </row>
    <row r="20" ht="18.75" customHeight="1" s="213">
      <c r="B20" s="133" t="n"/>
    </row>
    <row r="21" ht="18.75" customHeight="1" s="213">
      <c r="B21" s="133" t="n"/>
    </row>
    <row r="22" ht="18.75" customHeight="1" s="213">
      <c r="B22" s="133" t="n"/>
    </row>
    <row r="23" ht="18.75" customHeight="1" s="213">
      <c r="B23" s="133" t="n"/>
    </row>
    <row r="26">
      <c r="B26" s="219" t="inlineStr">
        <is>
          <t>Составил ______________________     Е. М. Добровольская</t>
        </is>
      </c>
      <c r="C26" s="220" t="n"/>
    </row>
    <row r="27">
      <c r="B27" s="222" t="inlineStr">
        <is>
          <t xml:space="preserve">                         (подпись, инициалы, фамилия)</t>
        </is>
      </c>
      <c r="C27" s="220" t="n"/>
    </row>
    <row r="28">
      <c r="B28" s="219" t="n"/>
      <c r="C28" s="220" t="n"/>
    </row>
    <row r="29">
      <c r="B29" s="219" t="inlineStr">
        <is>
          <t>Проверил ______________________        А.В. Костянецкая</t>
        </is>
      </c>
      <c r="C29" s="220" t="n"/>
    </row>
    <row r="30">
      <c r="B30" s="222" t="inlineStr">
        <is>
          <t xml:space="preserve">                        (подпись, инициалы, фамилия)</t>
        </is>
      </c>
      <c r="C30" s="220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13">
    <outlinePr summaryBelow="1" summaryRight="1"/>
    <pageSetUpPr fitToPage="1"/>
  </sheetPr>
  <dimension ref="A2:G13"/>
  <sheetViews>
    <sheetView view="pageBreakPreview" workbookViewId="0">
      <selection activeCell="D16" sqref="D16"/>
    </sheetView>
  </sheetViews>
  <sheetFormatPr baseColWidth="8" defaultRowHeight="14.4"/>
  <cols>
    <col width="9.109375" customWidth="1" style="213" min="1" max="1"/>
    <col width="44.88671875" customWidth="1" style="213" min="2" max="2"/>
    <col width="13" customWidth="1" style="213" min="3" max="3"/>
    <col width="22.88671875" customWidth="1" style="213" min="4" max="4"/>
    <col width="21.5546875" customWidth="1" style="213" min="5" max="5"/>
    <col width="43.88671875" customWidth="1" style="213" min="6" max="6"/>
    <col width="9.109375" customWidth="1" style="213" min="7" max="7"/>
  </cols>
  <sheetData>
    <row r="2" ht="17.25" customHeight="1" s="213">
      <c r="A2" s="236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213">
      <c r="A4" s="117" t="inlineStr">
        <is>
          <t>Составлен в уровне цен на 01.01.2023 г.</t>
        </is>
      </c>
      <c r="B4" s="212" t="n"/>
      <c r="C4" s="212" t="n"/>
      <c r="D4" s="212" t="n"/>
      <c r="E4" s="212" t="n"/>
      <c r="F4" s="212" t="n"/>
      <c r="G4" s="212" t="n"/>
    </row>
    <row r="5" ht="15.75" customHeight="1" s="213">
      <c r="A5" s="119" t="inlineStr">
        <is>
          <t>№ пп.</t>
        </is>
      </c>
      <c r="B5" s="119" t="inlineStr">
        <is>
          <t>Наименование элемента</t>
        </is>
      </c>
      <c r="C5" s="119" t="inlineStr">
        <is>
          <t>Обозначение</t>
        </is>
      </c>
      <c r="D5" s="119" t="inlineStr">
        <is>
          <t>Формула</t>
        </is>
      </c>
      <c r="E5" s="119" t="inlineStr">
        <is>
          <t>Величина элемента</t>
        </is>
      </c>
      <c r="F5" s="119" t="inlineStr">
        <is>
          <t>Наименования обосновывающих документов</t>
        </is>
      </c>
      <c r="G5" s="212" t="n"/>
    </row>
    <row r="6" ht="15.75" customHeight="1" s="213">
      <c r="A6" s="119" t="n">
        <v>1</v>
      </c>
      <c r="B6" s="119" t="n">
        <v>2</v>
      </c>
      <c r="C6" s="119" t="n">
        <v>3</v>
      </c>
      <c r="D6" s="119" t="n">
        <v>4</v>
      </c>
      <c r="E6" s="119" t="n">
        <v>5</v>
      </c>
      <c r="F6" s="119" t="n">
        <v>6</v>
      </c>
      <c r="G6" s="212" t="n"/>
    </row>
    <row r="7" ht="110.25" customHeight="1" s="213">
      <c r="A7" s="120" t="inlineStr">
        <is>
          <t>1.1</t>
        </is>
      </c>
      <c r="B7" s="121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44" t="inlineStr">
        <is>
          <t>С1ср</t>
        </is>
      </c>
      <c r="D7" s="244" t="inlineStr">
        <is>
          <t>-</t>
        </is>
      </c>
      <c r="E7" s="218" t="n">
        <v>47872.94</v>
      </c>
      <c r="F7" s="121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12" t="n"/>
    </row>
    <row r="8" ht="31.5" customHeight="1" s="213">
      <c r="A8" s="120" t="inlineStr">
        <is>
          <t>1.2</t>
        </is>
      </c>
      <c r="B8" s="121" t="inlineStr">
        <is>
          <t>Среднегодовое нормативное число часов работы одного рабочего в месяц, часы (ч.)</t>
        </is>
      </c>
      <c r="C8" s="244" t="inlineStr">
        <is>
          <t>tср</t>
        </is>
      </c>
      <c r="D8" s="244" t="inlineStr">
        <is>
          <t>1973ч/12мес.</t>
        </is>
      </c>
      <c r="E8" s="218">
        <f>1973/12</f>
        <v/>
      </c>
      <c r="F8" s="121" t="inlineStr">
        <is>
          <t>Производственный календарь 2023 год
(40-часов.неделя)</t>
        </is>
      </c>
      <c r="G8" s="124" t="n"/>
    </row>
    <row r="9" ht="15.75" customHeight="1" s="213">
      <c r="A9" s="120" t="inlineStr">
        <is>
          <t>1.3</t>
        </is>
      </c>
      <c r="B9" s="121" t="inlineStr">
        <is>
          <t>Коэффициент увеличения</t>
        </is>
      </c>
      <c r="C9" s="244" t="inlineStr">
        <is>
          <t>Кув</t>
        </is>
      </c>
      <c r="D9" s="244" t="inlineStr">
        <is>
          <t>-</t>
        </is>
      </c>
      <c r="E9" s="218" t="n">
        <v>1</v>
      </c>
      <c r="F9" s="121" t="n"/>
      <c r="G9" s="124" t="n"/>
    </row>
    <row r="10" ht="15.75" customHeight="1" s="213">
      <c r="A10" s="120" t="inlineStr">
        <is>
          <t>1.4</t>
        </is>
      </c>
      <c r="B10" s="121" t="inlineStr">
        <is>
          <t>Средний разряд работ</t>
        </is>
      </c>
      <c r="C10" s="244" t="n"/>
      <c r="D10" s="244" t="n"/>
      <c r="E10" s="125" t="n">
        <v>4.1</v>
      </c>
      <c r="F10" s="121" t="inlineStr">
        <is>
          <t>РТМ</t>
        </is>
      </c>
      <c r="G10" s="124" t="n"/>
    </row>
    <row r="11" ht="78.75" customHeight="1" s="213">
      <c r="A11" s="120" t="inlineStr">
        <is>
          <t>1.5</t>
        </is>
      </c>
      <c r="B11" s="121" t="inlineStr">
        <is>
          <t>Тарифный коэффициент среднего разряда работ</t>
        </is>
      </c>
      <c r="C11" s="244" t="inlineStr">
        <is>
          <t>КТ</t>
        </is>
      </c>
      <c r="D11" s="244" t="inlineStr">
        <is>
          <t>-</t>
        </is>
      </c>
      <c r="E11" s="126" t="n">
        <v>1.359</v>
      </c>
      <c r="F11" s="121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12" t="n"/>
    </row>
    <row r="12" ht="78.75" customHeight="1" s="213">
      <c r="A12" s="120" t="inlineStr">
        <is>
          <t>1.6</t>
        </is>
      </c>
      <c r="B12" s="127" t="inlineStr">
        <is>
          <t>Коэффициент инфляции, определяемый поквартально</t>
        </is>
      </c>
      <c r="C12" s="244" t="inlineStr">
        <is>
          <t>Кинф</t>
        </is>
      </c>
      <c r="D12" s="244" t="inlineStr">
        <is>
          <t>-</t>
        </is>
      </c>
      <c r="E12" s="128" t="n">
        <v>1.139</v>
      </c>
      <c r="F12" s="129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24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213">
      <c r="A13" s="120" t="inlineStr">
        <is>
          <t>1.7</t>
        </is>
      </c>
      <c r="B13" s="130" t="inlineStr">
        <is>
          <t>Размер средств на оплату труда рабочих-строителей в текущем уровне цен (ФОТр.тек.), руб/чел.-ч</t>
        </is>
      </c>
      <c r="C13" s="244" t="inlineStr">
        <is>
          <t>ФОТр.тек.</t>
        </is>
      </c>
      <c r="D13" s="244" t="inlineStr">
        <is>
          <t>(С1ср/tср*КТ*Т*Кув)*Кинф</t>
        </is>
      </c>
      <c r="E13" s="131">
        <f>((E7*E9/E8)*E11)*E12</f>
        <v/>
      </c>
      <c r="F13" s="121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12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2025-01-24T12:09:52Z</dcterms:modified>
  <cp:lastModifiedBy>user1</cp:lastModifiedBy>
</cp:coreProperties>
</file>